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Tempo" sheetId="1" r:id="rId1"/>
    <sheet name="Custo Produtivo" sheetId="2" r:id="rId2"/>
    <sheet name="Custo Funcionando" sheetId="3" r:id="rId3"/>
    <sheet name="Planilha" sheetId="4" r:id="rId4"/>
    <sheet name="cron desemb" sheetId="5" r:id="rId5"/>
    <sheet name="B.D.I." sheetId="6" r:id="rId6"/>
  </sheets>
  <definedNames>
    <definedName name="_xlnm.Print_Area" localSheetId="5">'B.D.I.'!$A$1:$N$48</definedName>
    <definedName name="_xlnm.Print_Area" localSheetId="2">'Custo Funcionando'!$A$1:$H$31</definedName>
    <definedName name="_xlnm.Print_Area" localSheetId="1">'Custo Produtivo'!$A$1:$F$31</definedName>
    <definedName name="_xlnm.Print_Area" localSheetId="3">'Planilha'!$A$1:$K$16</definedName>
    <definedName name="_xlnm.Print_Area" localSheetId="0">'Tempo'!$A$1:$Q$30</definedName>
    <definedName name="all">NA()</definedName>
    <definedName name="Excel_BuiltIn_Database">NA()</definedName>
    <definedName name="poarRR">NA()</definedName>
    <definedName name="_xlnm_Database">NA()</definedName>
    <definedName name="Excel_BuiltIn_Print_Area" localSheetId="0">'Tempo'!$A$1:$Q$30</definedName>
    <definedName name="_xlnm_Print_Area" localSheetId="0">'Tempo'!$A$1:$Q$30</definedName>
    <definedName name="Excel_BuiltIn_Print_Area" localSheetId="1">'Custo Produtivo'!$A$1:$F$31</definedName>
    <definedName name="_xlnm_Print_Area" localSheetId="1">'Custo Produtivo'!$A$1:$F$31</definedName>
    <definedName name="Excel_BuiltIn_Print_Area" localSheetId="2">'Custo Funcionando'!$A$1:$H$31</definedName>
    <definedName name="_xlnm_Print_Area" localSheetId="2">'Custo Funcionando'!$A$1:$H$31</definedName>
    <definedName name="Excel_BuiltIn_Print_Area" localSheetId="3">'Planilha'!$A$1:$K$16</definedName>
    <definedName name="_xlnm_Print_Area" localSheetId="3">'Planilha'!$A$1:$K$16</definedName>
    <definedName name="all" localSheetId="5">"[1]planilha!#ref!"</definedName>
    <definedName name="Excel_BuiltIn_Database" localSheetId="5">NA()</definedName>
    <definedName name="Excel_BuiltIn_Print_Area" localSheetId="5">'B.D.I.'!$A$1:$N$48</definedName>
    <definedName name="_xlnm_Print_Area" localSheetId="5">'B.D.I.'!$A$1:$N$48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D34" authorId="0">
      <text>
        <r>
          <rPr>
            <sz val="11"/>
            <color indexed="8"/>
            <rFont val="Calibri"/>
            <family val="2"/>
          </rPr>
          <t xml:space="preserve">Charles Mizrahi:
</t>
        </r>
        <r>
          <rPr>
            <sz val="9"/>
            <color indexed="8"/>
            <rFont val="Segoe UI"/>
            <family val="2"/>
          </rPr>
          <t>Aproximação para 10%</t>
        </r>
      </text>
    </comment>
  </commentList>
</comments>
</file>

<file path=xl/sharedStrings.xml><?xml version="1.0" encoding="utf-8"?>
<sst xmlns="http://schemas.openxmlformats.org/spreadsheetml/2006/main" count="198" uniqueCount="120">
  <si>
    <t xml:space="preserve">QUADRO ESTIMATIVO DO TEMPO NECESSÁRIO PARA O PERCURSO IDA/VOLTA DE UM CAMINHÃO PIPA ABASTECENDO EM DIVERSAS LOCALIDADES </t>
  </si>
  <si>
    <t>LOCALIDADES</t>
  </si>
  <si>
    <t>CAMINHÃO CHEIO OU PARCIALMENTE CHEIO</t>
  </si>
  <si>
    <t>CAMINHÃO VAZIO</t>
  </si>
  <si>
    <t>Distância Total</t>
  </si>
  <si>
    <t>Tempo Percurso</t>
  </si>
  <si>
    <r>
      <rPr>
        <b/>
        <sz val="12"/>
        <color indexed="8"/>
        <rFont val="Arial Narrow"/>
        <family val="2"/>
      </rPr>
      <t>Distância (</t>
    </r>
    <r>
      <rPr>
        <b/>
        <u val="single"/>
        <sz val="12"/>
        <color indexed="8"/>
        <rFont val="Arial Narrow"/>
        <family val="2"/>
      </rPr>
      <t>ida+perc. de abastec.</t>
    </r>
    <r>
      <rPr>
        <b/>
        <sz val="12"/>
        <color indexed="8"/>
        <rFont val="Arial Narrow"/>
        <family val="2"/>
      </rPr>
      <t>)  / Vel. média (por trecho)</t>
    </r>
  </si>
  <si>
    <r>
      <rPr>
        <b/>
        <sz val="12"/>
        <color indexed="8"/>
        <rFont val="Arial Narrow"/>
        <family val="2"/>
      </rPr>
      <t>Distância (</t>
    </r>
    <r>
      <rPr>
        <b/>
        <u val="single"/>
        <sz val="12"/>
        <color indexed="8"/>
        <rFont val="Arial Narrow"/>
        <family val="2"/>
      </rPr>
      <t>volta</t>
    </r>
    <r>
      <rPr>
        <b/>
        <sz val="12"/>
        <color indexed="8"/>
        <rFont val="Arial Narrow"/>
        <family val="2"/>
      </rPr>
      <t>)  / Vel. média (por trecho)</t>
    </r>
  </si>
  <si>
    <t>Estr. c/ pavto. asfáltico</t>
  </si>
  <si>
    <t>Estr. c/ pavto. paralelep.</t>
  </si>
  <si>
    <t>Estr. s/ pavto. ou pavto. ruim ou per. urb.</t>
  </si>
  <si>
    <t>Estr. s/ pavto. ou pavto. ruim</t>
  </si>
  <si>
    <t>(km)</t>
  </si>
  <si>
    <t>(km / h)</t>
  </si>
  <si>
    <t>(h)</t>
  </si>
  <si>
    <t>Machado</t>
  </si>
  <si>
    <t>Sítio Boa Vista</t>
  </si>
  <si>
    <t>Sítio Senhor do Bonfim</t>
  </si>
  <si>
    <t>Bacurau / Beira de Lagoa</t>
  </si>
  <si>
    <t>Campina Verde</t>
  </si>
  <si>
    <t>Flexeiras / Pitanga / S. Miguel do Furado</t>
  </si>
  <si>
    <t>Imbaíba / Visgueiro</t>
  </si>
  <si>
    <t>Machadinha</t>
  </si>
  <si>
    <r>
      <rPr>
        <sz val="12"/>
        <color indexed="8"/>
        <rFont val="Arial Narrow"/>
        <family val="2"/>
      </rPr>
      <t>Praia de João Francisco -</t>
    </r>
    <r>
      <rPr>
        <i/>
        <sz val="12"/>
        <color indexed="8"/>
        <rFont val="Arial Narrow"/>
        <family val="2"/>
      </rPr>
      <t xml:space="preserve"> cancelado</t>
    </r>
  </si>
  <si>
    <t>x</t>
  </si>
  <si>
    <t>Mandiquera / Alto Gde. / Cto. Sto. Antônio</t>
  </si>
  <si>
    <t>Morrinhos / Morro Alto / Pindobas</t>
  </si>
  <si>
    <t>Águas Claras</t>
  </si>
  <si>
    <t>Defesa Civil (emergência)</t>
  </si>
  <si>
    <t>Posto de Saúde de Morro Alto</t>
  </si>
  <si>
    <t>Hospital (emergência)</t>
  </si>
  <si>
    <t>Mutum</t>
  </si>
  <si>
    <t>Santa Luzia</t>
  </si>
  <si>
    <t>Postos de Saúde (Centro)</t>
  </si>
  <si>
    <t>CÁLCULO DO TEMPO TOTAL DE TRANSPORTE</t>
  </si>
  <si>
    <t>Localidade</t>
  </si>
  <si>
    <r>
      <rPr>
        <b/>
        <sz val="12"/>
        <color indexed="8"/>
        <rFont val="Arial Narrow"/>
        <family val="2"/>
      </rPr>
      <t xml:space="preserve">Quant. de caminhões               </t>
    </r>
    <r>
      <rPr>
        <b/>
        <sz val="11"/>
        <color indexed="8"/>
        <rFont val="Arial Narrow"/>
        <family val="2"/>
      </rPr>
      <t>(por mês)</t>
    </r>
  </si>
  <si>
    <t>Tempo de percurso por trecho</t>
  </si>
  <si>
    <r>
      <rPr>
        <b/>
        <sz val="12"/>
        <color indexed="8"/>
        <rFont val="Arial Narrow"/>
        <family val="2"/>
      </rPr>
      <t xml:space="preserve">Tempo total das viagens                      </t>
    </r>
    <r>
      <rPr>
        <b/>
        <sz val="11"/>
        <color indexed="8"/>
        <rFont val="Arial Narrow"/>
        <family val="2"/>
      </rPr>
      <t xml:space="preserve"> (por mês)</t>
    </r>
  </si>
  <si>
    <r>
      <rPr>
        <b/>
        <sz val="12"/>
        <color indexed="8"/>
        <rFont val="Arial Narrow"/>
        <family val="2"/>
      </rPr>
      <t xml:space="preserve">Tempo total das viagens                      </t>
    </r>
    <r>
      <rPr>
        <b/>
        <sz val="11"/>
        <color indexed="8"/>
        <rFont val="Arial Narrow"/>
        <family val="2"/>
      </rPr>
      <t xml:space="preserve"> (por ano)</t>
    </r>
  </si>
  <si>
    <t>Praia de João Francisco</t>
  </si>
  <si>
    <t>cancelado</t>
  </si>
  <si>
    <t>TOTAL</t>
  </si>
  <si>
    <t xml:space="preserve">CÁLCULO DO CUSTO PRODUTIVO </t>
  </si>
  <si>
    <t>(Tempo total das viagens mês / ano)</t>
  </si>
  <si>
    <t>CÁLCULO DO TEMPO TOTAL DE ABASTECIMENTOS (CONSIDERANDO O TEMPO DE ABASTECIMENTO DO CAMINHÃO TANQUE)</t>
  </si>
  <si>
    <t>Quant. de abastecimentos por trecho</t>
  </si>
  <si>
    <r>
      <rPr>
        <b/>
        <sz val="12"/>
        <color indexed="8"/>
        <rFont val="Arial Narrow"/>
        <family val="2"/>
      </rPr>
      <t xml:space="preserve">Quant. média de caminhões               </t>
    </r>
    <r>
      <rPr>
        <b/>
        <sz val="11"/>
        <color indexed="8"/>
        <rFont val="Arial Narrow"/>
        <family val="2"/>
      </rPr>
      <t>(mês)</t>
    </r>
  </si>
  <si>
    <t>Quant. de abastecimentos (mês)</t>
  </si>
  <si>
    <t>Tempo de abastecimento (mês)</t>
  </si>
  <si>
    <t>Tempo de abastecimento (ano)</t>
  </si>
  <si>
    <t>CÁLCULO DO CUSTO FUNCIONANDO</t>
  </si>
  <si>
    <t xml:space="preserve"> (Tempo total dos abastecimentos mês / ano)*</t>
  </si>
  <si>
    <t>PLANILHA DE PREÇOS E SERVIÇOS - REFERÊNCIA EMOP 10-2022</t>
  </si>
  <si>
    <t xml:space="preserve"> </t>
  </si>
  <si>
    <t>ITEM</t>
  </si>
  <si>
    <t>CÓDIGO</t>
  </si>
  <si>
    <t>DESCR.</t>
  </si>
  <si>
    <t xml:space="preserve">UN </t>
  </si>
  <si>
    <t>QUANT.</t>
  </si>
  <si>
    <t>PREÇO UNIT.</t>
  </si>
  <si>
    <t>PREÇO TOTAL</t>
  </si>
  <si>
    <t>EMOP                               19.004.0021-C                                                           (CP)</t>
  </si>
  <si>
    <t>CAMINHAO TANQUE,CAPACIDADE DE 10.000L, INCLUSIVE MOTORISTA</t>
  </si>
  <si>
    <t>h</t>
  </si>
  <si>
    <t>EMOP                               19.004.0021-D                                                           (CF)</t>
  </si>
  <si>
    <t>CUSTO PARCIAL:</t>
  </si>
  <si>
    <t>BDI (10%):</t>
  </si>
  <si>
    <t>CUSTO TOTAL:</t>
  </si>
  <si>
    <t xml:space="preserve"> CRONOGRAMA DE DESEMBOLSO MÁXIMO</t>
  </si>
  <si>
    <t xml:space="preserve">     PRAZO DAS MEDIÇÕES</t>
  </si>
  <si>
    <t>EXECUÇÃO</t>
  </si>
  <si>
    <t>DESEMBOLSO MÁXIMO</t>
  </si>
  <si>
    <t>1ª</t>
  </si>
  <si>
    <t>APÓS A ORDEM DE SERVIÇO</t>
  </si>
  <si>
    <t>2ª</t>
  </si>
  <si>
    <t>3ª</t>
  </si>
  <si>
    <t>4ª</t>
  </si>
  <si>
    <t>5ª</t>
  </si>
  <si>
    <t>6ª</t>
  </si>
  <si>
    <t>7ª</t>
  </si>
  <si>
    <t>8ª</t>
  </si>
  <si>
    <t>10ª</t>
  </si>
  <si>
    <t>11ª</t>
  </si>
  <si>
    <t>12ª</t>
  </si>
  <si>
    <t>PLANILHA DE CÁLCULO DO BDI</t>
  </si>
  <si>
    <t>DETALHAMENTO DO BDI</t>
  </si>
  <si>
    <t>Item</t>
  </si>
  <si>
    <t>Descrição dos Serviços</t>
  </si>
  <si>
    <t>%</t>
  </si>
  <si>
    <t>ADMINISTRAÇÃO CENTRAL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</si>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</sst>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0.00"/>
    <numFmt numFmtId="167" formatCode="&quot;&quot;0.00&quot; h&quot;"/>
    <numFmt numFmtId="168" formatCode="General"/>
    <numFmt numFmtId="169" formatCode="0"/>
    <numFmt numFmtId="170" formatCode="&quot;R$ &quot;#,##0.00"/>
    <numFmt numFmtId="171" formatCode="&quot;&quot;00&quot; DIAS&quot;"/>
    <numFmt numFmtId="172" formatCode="0.00%"/>
    <numFmt numFmtId="173" formatCode="_-* #,##0.00_-;\-* #,##0.00_-;_-* \-??_-;_-@_-"/>
    <numFmt numFmtId="174" formatCode="#,##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 Narrow"/>
      <family val="2"/>
    </font>
    <font>
      <b/>
      <u val="single"/>
      <sz val="15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1"/>
      <color indexed="8"/>
      <name val="Arial Narrow"/>
      <family val="2"/>
    </font>
    <font>
      <i/>
      <sz val="12"/>
      <color indexed="8"/>
      <name val="Arial Narrow"/>
      <family val="2"/>
    </font>
    <font>
      <i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3"/>
      <color indexed="9"/>
      <name val="Arial Narrow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Segoe U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Border="0" applyProtection="0">
      <alignment/>
    </xf>
  </cellStyleXfs>
  <cellXfs count="12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4" fillId="0" borderId="8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9" xfId="0" applyFont="1" applyBorder="1" applyAlignment="1">
      <alignment horizontal="center" vertical="center"/>
    </xf>
    <xf numFmtId="167" fontId="4" fillId="0" borderId="10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vertical="center"/>
    </xf>
    <xf numFmtId="164" fontId="4" fillId="0" borderId="11" xfId="0" applyFont="1" applyBorder="1" applyAlignment="1">
      <alignment vertical="center"/>
    </xf>
    <xf numFmtId="164" fontId="4" fillId="0" borderId="11" xfId="0" applyFont="1" applyBorder="1" applyAlignment="1">
      <alignment horizontal="center" vertical="center"/>
    </xf>
    <xf numFmtId="164" fontId="4" fillId="0" borderId="6" xfId="0" applyFont="1" applyBorder="1" applyAlignment="1">
      <alignment vertical="center"/>
    </xf>
    <xf numFmtId="169" fontId="2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4" fillId="0" borderId="5" xfId="0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9" fillId="0" borderId="0" xfId="0" applyFont="1" applyAlignment="1">
      <alignment vertical="center"/>
    </xf>
    <xf numFmtId="164" fontId="0" fillId="0" borderId="0" xfId="0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vertical="center"/>
    </xf>
    <xf numFmtId="164" fontId="10" fillId="0" borderId="0" xfId="0" applyFont="1" applyAlignment="1">
      <alignment vertical="center"/>
    </xf>
    <xf numFmtId="170" fontId="10" fillId="0" borderId="1" xfId="0" applyNumberFormat="1" applyFont="1" applyBorder="1" applyAlignment="1">
      <alignment vertical="center"/>
    </xf>
    <xf numFmtId="164" fontId="11" fillId="0" borderId="0" xfId="0" applyFont="1" applyAlignment="1">
      <alignment vertical="center"/>
    </xf>
    <xf numFmtId="170" fontId="12" fillId="0" borderId="1" xfId="0" applyNumberFormat="1" applyFont="1" applyBorder="1" applyAlignment="1">
      <alignment vertical="center"/>
    </xf>
    <xf numFmtId="164" fontId="1" fillId="0" borderId="0" xfId="20">
      <alignment/>
      <protection/>
    </xf>
    <xf numFmtId="165" fontId="13" fillId="0" borderId="0" xfId="20" applyNumberFormat="1" applyFont="1">
      <alignment/>
      <protection/>
    </xf>
    <xf numFmtId="164" fontId="1" fillId="2" borderId="0" xfId="20" applyFill="1">
      <alignment/>
      <protection/>
    </xf>
    <xf numFmtId="164" fontId="14" fillId="2" borderId="0" xfId="20" applyFont="1" applyFill="1">
      <alignment/>
      <protection/>
    </xf>
    <xf numFmtId="164" fontId="15" fillId="2" borderId="2" xfId="20" applyFont="1" applyFill="1" applyBorder="1" applyAlignment="1">
      <alignment vertical="center"/>
      <protection/>
    </xf>
    <xf numFmtId="164" fontId="15" fillId="2" borderId="1" xfId="20" applyFont="1" applyFill="1" applyBorder="1" applyAlignment="1">
      <alignment vertical="center"/>
      <protection/>
    </xf>
    <xf numFmtId="164" fontId="15" fillId="2" borderId="1" xfId="20" applyFont="1" applyFill="1" applyBorder="1" applyAlignment="1">
      <alignment horizontal="center" vertical="center"/>
      <protection/>
    </xf>
    <xf numFmtId="164" fontId="15" fillId="2" borderId="1" xfId="20" applyFont="1" applyFill="1" applyBorder="1" applyAlignment="1">
      <alignment horizontal="center" vertical="center" wrapText="1"/>
      <protection/>
    </xf>
    <xf numFmtId="164" fontId="1" fillId="0" borderId="0" xfId="20" applyAlignment="1">
      <alignment vertical="center"/>
      <protection/>
    </xf>
    <xf numFmtId="164" fontId="1" fillId="2" borderId="2" xfId="20" applyFill="1" applyBorder="1">
      <alignment/>
      <protection/>
    </xf>
    <xf numFmtId="171" fontId="1" fillId="2" borderId="10" xfId="20" applyNumberFormat="1" applyFill="1" applyBorder="1" applyAlignment="1">
      <alignment horizontal="center"/>
      <protection/>
    </xf>
    <xf numFmtId="164" fontId="1" fillId="2" borderId="4" xfId="20" applyFill="1" applyBorder="1">
      <alignment/>
      <protection/>
    </xf>
    <xf numFmtId="170" fontId="1" fillId="2" borderId="2" xfId="20" applyNumberFormat="1" applyFill="1" applyBorder="1" applyAlignment="1">
      <alignment vertical="top"/>
      <protection/>
    </xf>
    <xf numFmtId="164" fontId="1" fillId="2" borderId="7" xfId="20" applyFont="1" applyFill="1" applyBorder="1" applyAlignment="1">
      <alignment horizontal="center" vertical="top"/>
      <protection/>
    </xf>
    <xf numFmtId="164" fontId="1" fillId="2" borderId="6" xfId="20" applyFont="1" applyFill="1" applyBorder="1" applyAlignment="1">
      <alignment vertical="top"/>
      <protection/>
    </xf>
    <xf numFmtId="172" fontId="1" fillId="2" borderId="5" xfId="20" applyNumberFormat="1" applyFill="1" applyBorder="1" applyAlignment="1">
      <alignment horizontal="center" vertical="top"/>
      <protection/>
    </xf>
    <xf numFmtId="170" fontId="1" fillId="2" borderId="7" xfId="20" applyNumberFormat="1" applyFill="1" applyBorder="1" applyAlignment="1">
      <alignment vertical="top"/>
      <protection/>
    </xf>
    <xf numFmtId="165" fontId="1" fillId="0" borderId="0" xfId="20" applyNumberFormat="1" applyAlignment="1">
      <alignment vertical="top"/>
      <protection/>
    </xf>
    <xf numFmtId="164" fontId="1" fillId="2" borderId="2" xfId="20" applyFill="1" applyBorder="1" applyAlignment="1">
      <alignment horizontal="center" vertical="top"/>
      <protection/>
    </xf>
    <xf numFmtId="164" fontId="1" fillId="0" borderId="0" xfId="20" applyAlignment="1">
      <alignment vertical="top"/>
      <protection/>
    </xf>
    <xf numFmtId="164" fontId="1" fillId="2" borderId="12" xfId="20" applyFill="1" applyBorder="1" applyAlignment="1">
      <alignment horizontal="center" vertical="top"/>
      <protection/>
    </xf>
    <xf numFmtId="164" fontId="1" fillId="2" borderId="0" xfId="20" applyFont="1" applyFill="1" applyAlignment="1">
      <alignment vertical="top"/>
      <protection/>
    </xf>
    <xf numFmtId="172" fontId="1" fillId="2" borderId="4" xfId="20" applyNumberFormat="1" applyFill="1" applyBorder="1">
      <alignment/>
      <protection/>
    </xf>
    <xf numFmtId="164" fontId="15" fillId="2" borderId="4" xfId="20" applyFont="1" applyFill="1" applyBorder="1">
      <alignment/>
      <protection/>
    </xf>
    <xf numFmtId="164" fontId="15" fillId="2" borderId="10" xfId="20" applyFont="1" applyFill="1" applyBorder="1">
      <alignment/>
      <protection/>
    </xf>
    <xf numFmtId="164" fontId="15" fillId="2" borderId="2" xfId="20" applyFont="1" applyFill="1" applyBorder="1" applyAlignment="1">
      <alignment horizontal="center" vertical="top"/>
      <protection/>
    </xf>
    <xf numFmtId="170" fontId="15" fillId="2" borderId="2" xfId="20" applyNumberFormat="1" applyFont="1" applyFill="1" applyBorder="1" applyAlignment="1">
      <alignment horizontal="center" vertical="top"/>
      <protection/>
    </xf>
    <xf numFmtId="165" fontId="0" fillId="0" borderId="0" xfId="22" applyFont="1" applyBorder="1" applyAlignment="1" applyProtection="1">
      <alignment/>
      <protection/>
    </xf>
    <xf numFmtId="164" fontId="16" fillId="2" borderId="5" xfId="20" applyFont="1" applyFill="1" applyBorder="1">
      <alignment/>
      <protection/>
    </xf>
    <xf numFmtId="164" fontId="16" fillId="2" borderId="6" xfId="20" applyFont="1" applyFill="1" applyBorder="1" applyAlignment="1">
      <alignment horizontal="center" vertical="top"/>
      <protection/>
    </xf>
    <xf numFmtId="172" fontId="16" fillId="2" borderId="7" xfId="20" applyNumberFormat="1" applyFont="1" applyFill="1" applyBorder="1" applyAlignment="1">
      <alignment horizontal="center" vertical="top"/>
      <protection/>
    </xf>
    <xf numFmtId="170" fontId="16" fillId="2" borderId="7" xfId="20" applyNumberFormat="1" applyFont="1" applyFill="1" applyBorder="1" applyAlignment="1">
      <alignment horizontal="center" vertical="top"/>
      <protection/>
    </xf>
    <xf numFmtId="170" fontId="1" fillId="0" borderId="0" xfId="20" applyNumberFormat="1">
      <alignment/>
      <protection/>
    </xf>
    <xf numFmtId="164" fontId="0" fillId="2" borderId="0" xfId="0" applyFill="1" applyAlignment="1">
      <alignment/>
    </xf>
    <xf numFmtId="164" fontId="17" fillId="3" borderId="13" xfId="21" applyFont="1" applyFill="1" applyBorder="1" applyAlignment="1">
      <alignment horizontal="center" vertical="center" wrapText="1"/>
      <protection/>
    </xf>
    <xf numFmtId="164" fontId="18" fillId="4" borderId="0" xfId="0" applyFont="1" applyFill="1" applyBorder="1" applyAlignment="1">
      <alignment horizontal="center"/>
    </xf>
    <xf numFmtId="164" fontId="19" fillId="2" borderId="14" xfId="0" applyFont="1" applyFill="1" applyBorder="1" applyAlignment="1">
      <alignment/>
    </xf>
    <xf numFmtId="164" fontId="19" fillId="2" borderId="15" xfId="0" applyFont="1" applyFill="1" applyBorder="1" applyAlignment="1">
      <alignment/>
    </xf>
    <xf numFmtId="164" fontId="0" fillId="2" borderId="0" xfId="0" applyFill="1" applyAlignment="1">
      <alignment vertical="center"/>
    </xf>
    <xf numFmtId="164" fontId="15" fillId="2" borderId="16" xfId="0" applyFont="1" applyFill="1" applyBorder="1" applyAlignment="1">
      <alignment horizontal="center" vertical="center"/>
    </xf>
    <xf numFmtId="164" fontId="15" fillId="2" borderId="17" xfId="0" applyFont="1" applyFill="1" applyBorder="1" applyAlignment="1">
      <alignment horizontal="center" vertical="center"/>
    </xf>
    <xf numFmtId="164" fontId="10" fillId="2" borderId="18" xfId="0" applyFont="1" applyFill="1" applyBorder="1" applyAlignment="1">
      <alignment horizontal="center" vertical="center"/>
    </xf>
    <xf numFmtId="164" fontId="15" fillId="2" borderId="19" xfId="0" applyFont="1" applyFill="1" applyBorder="1" applyAlignment="1">
      <alignment horizontal="center" vertical="center"/>
    </xf>
    <xf numFmtId="164" fontId="15" fillId="2" borderId="0" xfId="0" applyFont="1" applyFill="1" applyAlignment="1">
      <alignment horizontal="center" vertical="center"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20" xfId="0" applyFill="1" applyBorder="1" applyAlignment="1">
      <alignment/>
    </xf>
    <xf numFmtId="164" fontId="15" fillId="2" borderId="21" xfId="0" applyFont="1" applyFill="1" applyBorder="1" applyAlignment="1">
      <alignment horizontal="center" vertical="center"/>
    </xf>
    <xf numFmtId="164" fontId="0" fillId="2" borderId="12" xfId="0" applyFill="1" applyBorder="1" applyAlignment="1">
      <alignment horizontal="center" vertical="center"/>
    </xf>
    <xf numFmtId="164" fontId="15" fillId="2" borderId="22" xfId="0" applyFont="1" applyFill="1" applyBorder="1" applyAlignment="1">
      <alignment horizontal="center" vertical="center"/>
    </xf>
    <xf numFmtId="164" fontId="15" fillId="5" borderId="21" xfId="0" applyFont="1" applyFill="1" applyBorder="1" applyAlignment="1">
      <alignment horizontal="center" vertical="center"/>
    </xf>
    <xf numFmtId="164" fontId="15" fillId="5" borderId="12" xfId="0" applyFont="1" applyFill="1" applyBorder="1" applyAlignment="1">
      <alignment vertical="center"/>
    </xf>
    <xf numFmtId="173" fontId="15" fillId="5" borderId="22" xfId="0" applyNumberFormat="1" applyFont="1" applyFill="1" applyBorder="1" applyAlignment="1">
      <alignment horizontal="right" vertical="center"/>
    </xf>
    <xf numFmtId="164" fontId="0" fillId="2" borderId="19" xfId="0" applyFill="1" applyBorder="1" applyAlignment="1">
      <alignment vertical="center"/>
    </xf>
    <xf numFmtId="174" fontId="15" fillId="2" borderId="0" xfId="0" applyNumberFormat="1" applyFont="1" applyFill="1" applyAlignment="1">
      <alignment vertical="center"/>
    </xf>
    <xf numFmtId="164" fontId="0" fillId="2" borderId="21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vertical="center"/>
    </xf>
    <xf numFmtId="173" fontId="0" fillId="2" borderId="22" xfId="0" applyNumberFormat="1" applyFill="1" applyBorder="1" applyAlignment="1">
      <alignment vertical="center"/>
    </xf>
    <xf numFmtId="174" fontId="0" fillId="2" borderId="19" xfId="0" applyNumberFormat="1" applyFill="1" applyBorder="1" applyAlignment="1">
      <alignment vertical="center"/>
    </xf>
    <xf numFmtId="164" fontId="0" fillId="2" borderId="21" xfId="0" applyFont="1" applyFill="1" applyBorder="1" applyAlignment="1">
      <alignment horizontal="right" vertical="center"/>
    </xf>
    <xf numFmtId="173" fontId="15" fillId="5" borderId="22" xfId="0" applyNumberFormat="1" applyFont="1" applyFill="1" applyBorder="1" applyAlignment="1">
      <alignment vertical="center"/>
    </xf>
    <xf numFmtId="164" fontId="0" fillId="2" borderId="12" xfId="0" applyFont="1" applyFill="1" applyBorder="1" applyAlignment="1">
      <alignment horizontal="left" vertical="center"/>
    </xf>
    <xf numFmtId="164" fontId="0" fillId="2" borderId="23" xfId="0" applyFill="1" applyBorder="1" applyAlignment="1">
      <alignment/>
    </xf>
    <xf numFmtId="164" fontId="0" fillId="2" borderId="24" xfId="0" applyFill="1" applyBorder="1" applyAlignment="1">
      <alignment/>
    </xf>
    <xf numFmtId="174" fontId="0" fillId="2" borderId="0" xfId="0" applyNumberFormat="1" applyFill="1" applyAlignment="1">
      <alignment vertical="center"/>
    </xf>
    <xf numFmtId="166" fontId="19" fillId="2" borderId="22" xfId="0" applyNumberFormat="1" applyFont="1" applyFill="1" applyBorder="1" applyAlignment="1">
      <alignment vertical="center"/>
    </xf>
    <xf numFmtId="164" fontId="0" fillId="6" borderId="16" xfId="0" applyFont="1" applyFill="1" applyBorder="1" applyAlignment="1">
      <alignment horizontal="right" vertical="center"/>
    </xf>
    <xf numFmtId="164" fontId="15" fillId="6" borderId="17" xfId="0" applyFont="1" applyFill="1" applyBorder="1" applyAlignment="1">
      <alignment vertical="center"/>
    </xf>
    <xf numFmtId="166" fontId="15" fillId="6" borderId="25" xfId="0" applyNumberFormat="1" applyFont="1" applyFill="1" applyBorder="1" applyAlignment="1">
      <alignment vertical="center"/>
    </xf>
    <xf numFmtId="164" fontId="0" fillId="2" borderId="26" xfId="0" applyFill="1" applyBorder="1" applyAlignment="1">
      <alignment/>
    </xf>
    <xf numFmtId="164" fontId="0" fillId="2" borderId="19" xfId="0" applyFill="1" applyBorder="1" applyAlignment="1">
      <alignment/>
    </xf>
    <xf numFmtId="164" fontId="20" fillId="7" borderId="19" xfId="0" applyFont="1" applyFill="1" applyBorder="1" applyAlignment="1">
      <alignment vertical="center"/>
    </xf>
    <xf numFmtId="164" fontId="0" fillId="7" borderId="0" xfId="0" applyFill="1" applyAlignment="1">
      <alignment/>
    </xf>
    <xf numFmtId="164" fontId="0" fillId="7" borderId="20" xfId="0" applyFill="1" applyBorder="1" applyAlignment="1">
      <alignment/>
    </xf>
    <xf numFmtId="164" fontId="20" fillId="7" borderId="27" xfId="0" applyFont="1" applyFill="1" applyBorder="1" applyAlignment="1">
      <alignment vertical="center"/>
    </xf>
    <xf numFmtId="164" fontId="0" fillId="7" borderId="23" xfId="0" applyFill="1" applyBorder="1" applyAlignment="1">
      <alignment/>
    </xf>
    <xf numFmtId="164" fontId="0" fillId="7" borderId="24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Vírgul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7F7F7F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jpe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638175</xdr:colOff>
      <xdr:row>0</xdr:row>
      <xdr:rowOff>0</xdr:rowOff>
    </xdr:from>
    <xdr:to>
      <xdr:col>5</xdr:col>
      <xdr:colOff>542925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0"/>
          <a:ext cx="37909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190500</xdr:colOff>
      <xdr:row>24</xdr:row>
      <xdr:rowOff>323850</xdr:rowOff>
    </xdr:from>
    <xdr:to>
      <xdr:col>17</xdr:col>
      <xdr:colOff>28575</xdr:colOff>
      <xdr:row>29</xdr:row>
      <xdr:rowOff>285750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7715250"/>
          <a:ext cx="85725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523875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609600</xdr:colOff>
      <xdr:row>0</xdr:row>
      <xdr:rowOff>57150</xdr:rowOff>
    </xdr:from>
    <xdr:to>
      <xdr:col>3</xdr:col>
      <xdr:colOff>504825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57150"/>
          <a:ext cx="3390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638175</xdr:colOff>
      <xdr:row>9</xdr:row>
      <xdr:rowOff>28575</xdr:rowOff>
    </xdr:from>
    <xdr:to>
      <xdr:col>5</xdr:col>
      <xdr:colOff>1019175</xdr:colOff>
      <xdr:row>11</xdr:row>
      <xdr:rowOff>161925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5514975" y="2228850"/>
          <a:ext cx="1476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523875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600075</xdr:colOff>
      <xdr:row>0</xdr:row>
      <xdr:rowOff>38100</xdr:rowOff>
    </xdr:from>
    <xdr:to>
      <xdr:col>3</xdr:col>
      <xdr:colOff>495300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100"/>
          <a:ext cx="31051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161925</xdr:colOff>
      <xdr:row>9</xdr:row>
      <xdr:rowOff>133350</xdr:rowOff>
    </xdr:from>
    <xdr:to>
      <xdr:col>7</xdr:col>
      <xdr:colOff>790575</xdr:colOff>
      <xdr:row>11</xdr:row>
      <xdr:rowOff>247650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6200000">
          <a:off x="6496050" y="2314575"/>
          <a:ext cx="15335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47625</xdr:rowOff>
    </xdr:from>
    <xdr:to>
      <xdr:col>2</xdr:col>
      <xdr:colOff>85725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6762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0</xdr:row>
      <xdr:rowOff>66675</xdr:rowOff>
    </xdr:from>
    <xdr:to>
      <xdr:col>5</xdr:col>
      <xdr:colOff>285750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66675"/>
          <a:ext cx="3086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342900</xdr:colOff>
      <xdr:row>9</xdr:row>
      <xdr:rowOff>257175</xdr:rowOff>
    </xdr:from>
    <xdr:to>
      <xdr:col>10</xdr:col>
      <xdr:colOff>533400</xdr:colOff>
      <xdr:row>15</xdr:row>
      <xdr:rowOff>171450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4524375"/>
          <a:ext cx="800100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142875</xdr:rowOff>
    </xdr:from>
    <xdr:to>
      <xdr:col>1</xdr:col>
      <xdr:colOff>47625</xdr:colOff>
      <xdr:row>4</xdr:row>
      <xdr:rowOff>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619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114300</xdr:colOff>
      <xdr:row>1</xdr:row>
      <xdr:rowOff>9525</xdr:rowOff>
    </xdr:from>
    <xdr:to>
      <xdr:col>2</xdr:col>
      <xdr:colOff>2133600</xdr:colOff>
      <xdr:row>3</xdr:row>
      <xdr:rowOff>57150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0025"/>
          <a:ext cx="26098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247650</xdr:colOff>
      <xdr:row>37</xdr:row>
      <xdr:rowOff>95250</xdr:rowOff>
    </xdr:from>
    <xdr:to>
      <xdr:col>3</xdr:col>
      <xdr:colOff>381000</xdr:colOff>
      <xdr:row>40</xdr:row>
      <xdr:rowOff>104775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6981825"/>
          <a:ext cx="31623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2209800</xdr:colOff>
      <xdr:row>13</xdr:row>
      <xdr:rowOff>104775</xdr:rowOff>
    </xdr:from>
    <xdr:to>
      <xdr:col>14</xdr:col>
      <xdr:colOff>9525</xdr:colOff>
      <xdr:row>17</xdr:row>
      <xdr:rowOff>19050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6200000">
          <a:off x="3448050" y="2390775"/>
          <a:ext cx="1619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98"/>
  <sheetViews>
    <sheetView zoomScale="80" zoomScaleNormal="80" workbookViewId="0" topLeftCell="A5">
      <selection activeCell="R28" sqref="R28"/>
    </sheetView>
  </sheetViews>
  <sheetFormatPr defaultColWidth="9.140625" defaultRowHeight="15"/>
  <cols>
    <col min="1" max="1" width="3.00390625" style="1" customWidth="1"/>
    <col min="2" max="2" width="21.00390625" style="2" customWidth="1"/>
    <col min="3" max="14" width="12.421875" style="2" customWidth="1"/>
    <col min="15" max="16" width="13.00390625" style="2" customWidth="1"/>
    <col min="17" max="17" width="15.28125" style="2" customWidth="1"/>
    <col min="18" max="18" width="12.421875" style="2" customWidth="1"/>
    <col min="19" max="16384" width="9.140625" style="2" customWidth="1"/>
  </cols>
  <sheetData>
    <row r="1" ht="15.75"/>
    <row r="2" ht="15.75"/>
    <row r="3" ht="15.75"/>
    <row r="4" ht="15.75"/>
    <row r="5" ht="15.75"/>
    <row r="6" spans="1:16" ht="19.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8" spans="1:16" ht="15.75" customHeight="1">
      <c r="A8" s="4" t="s">
        <v>1</v>
      </c>
      <c r="B8" s="4"/>
      <c r="C8" s="4" t="s">
        <v>2</v>
      </c>
      <c r="D8" s="4"/>
      <c r="E8" s="4"/>
      <c r="F8" s="4"/>
      <c r="G8" s="4"/>
      <c r="H8" s="4"/>
      <c r="I8" s="4" t="s">
        <v>3</v>
      </c>
      <c r="J8" s="4"/>
      <c r="K8" s="4"/>
      <c r="L8" s="4"/>
      <c r="M8" s="4"/>
      <c r="N8" s="4"/>
      <c r="O8" s="5" t="s">
        <v>4</v>
      </c>
      <c r="P8" s="5" t="s">
        <v>5</v>
      </c>
    </row>
    <row r="9" spans="1:16" ht="15.75">
      <c r="A9" s="4"/>
      <c r="B9" s="4"/>
      <c r="C9" s="4" t="s">
        <v>6</v>
      </c>
      <c r="D9" s="4"/>
      <c r="E9" s="4"/>
      <c r="F9" s="4"/>
      <c r="G9" s="4"/>
      <c r="H9" s="4"/>
      <c r="I9" s="6" t="s">
        <v>7</v>
      </c>
      <c r="J9" s="6"/>
      <c r="K9" s="6"/>
      <c r="L9" s="6"/>
      <c r="M9" s="6"/>
      <c r="N9" s="6"/>
      <c r="O9" s="5"/>
      <c r="P9" s="5"/>
    </row>
    <row r="10" spans="1:16" ht="30.75" customHeight="1">
      <c r="A10" s="4"/>
      <c r="B10" s="4"/>
      <c r="C10" s="7" t="s">
        <v>8</v>
      </c>
      <c r="D10" s="7"/>
      <c r="E10" s="7" t="s">
        <v>9</v>
      </c>
      <c r="F10" s="7"/>
      <c r="G10" s="7" t="s">
        <v>10</v>
      </c>
      <c r="H10" s="7"/>
      <c r="I10" s="7" t="s">
        <v>8</v>
      </c>
      <c r="J10" s="7"/>
      <c r="K10" s="7" t="s">
        <v>9</v>
      </c>
      <c r="L10" s="7"/>
      <c r="M10" s="8" t="s">
        <v>11</v>
      </c>
      <c r="N10" s="8"/>
      <c r="O10" s="5"/>
      <c r="P10" s="5"/>
    </row>
    <row r="11" spans="1:16" ht="16.5">
      <c r="A11" s="4"/>
      <c r="B11" s="4"/>
      <c r="C11" s="9" t="s">
        <v>12</v>
      </c>
      <c r="D11" s="10" t="s">
        <v>13</v>
      </c>
      <c r="E11" s="9" t="s">
        <v>12</v>
      </c>
      <c r="F11" s="10" t="s">
        <v>13</v>
      </c>
      <c r="G11" s="9" t="s">
        <v>12</v>
      </c>
      <c r="H11" s="10" t="s">
        <v>13</v>
      </c>
      <c r="I11" s="9" t="s">
        <v>12</v>
      </c>
      <c r="J11" s="10" t="s">
        <v>13</v>
      </c>
      <c r="K11" s="9" t="s">
        <v>12</v>
      </c>
      <c r="L11" s="10" t="s">
        <v>13</v>
      </c>
      <c r="M11" s="9" t="s">
        <v>12</v>
      </c>
      <c r="N11" s="10" t="s">
        <v>13</v>
      </c>
      <c r="O11" s="11" t="s">
        <v>12</v>
      </c>
      <c r="P11" s="11" t="s">
        <v>14</v>
      </c>
    </row>
    <row r="12" spans="1:16" ht="30" customHeight="1">
      <c r="A12" s="12">
        <v>1</v>
      </c>
      <c r="B12" s="13" t="s">
        <v>15</v>
      </c>
      <c r="C12" s="14">
        <f>2.3-1.4</f>
        <v>0.8999999999999999</v>
      </c>
      <c r="D12" s="14">
        <v>40</v>
      </c>
      <c r="E12" s="14">
        <v>0.2</v>
      </c>
      <c r="F12" s="14">
        <v>30</v>
      </c>
      <c r="G12" s="14">
        <f>17.2+1.5+1.4</f>
        <v>20.099999999999998</v>
      </c>
      <c r="H12" s="14">
        <v>15</v>
      </c>
      <c r="I12" s="14">
        <f>-1.4+16.8</f>
        <v>15.4</v>
      </c>
      <c r="J12" s="14">
        <v>60</v>
      </c>
      <c r="K12" s="14">
        <v>0</v>
      </c>
      <c r="L12" s="14">
        <v>50</v>
      </c>
      <c r="M12" s="14">
        <f>1.4</f>
        <v>1.4</v>
      </c>
      <c r="N12" s="14">
        <v>30</v>
      </c>
      <c r="O12" s="14">
        <f aca="true" t="shared" si="0" ref="O12:O19">C12+E12+G12+I12+K12+M12</f>
        <v>38</v>
      </c>
      <c r="P12" s="14">
        <f aca="true" t="shared" si="1" ref="P12:P19">(C12/$D$12)+(E12/$F$12)+(G12/$H$12)+(I12/$J$12)+(K12/$L$12)+(M12/$N$12)</f>
        <v>1.6724999999999997</v>
      </c>
    </row>
    <row r="13" spans="1:16" ht="30" customHeight="1">
      <c r="A13" s="12">
        <f aca="true" t="shared" si="2" ref="A13:A29">A12+1</f>
        <v>2</v>
      </c>
      <c r="B13" s="13" t="s">
        <v>16</v>
      </c>
      <c r="C13" s="14">
        <f>9.3-1.4</f>
        <v>7.9</v>
      </c>
      <c r="D13" s="14"/>
      <c r="E13" s="14">
        <v>0.4</v>
      </c>
      <c r="F13" s="14"/>
      <c r="G13" s="14">
        <f>0.8+1.5+2+1.4</f>
        <v>5.699999999999999</v>
      </c>
      <c r="H13" s="14"/>
      <c r="I13" s="14">
        <f>-1.4+C13</f>
        <v>6.5</v>
      </c>
      <c r="J13" s="14"/>
      <c r="K13" s="14">
        <v>0</v>
      </c>
      <c r="L13" s="14"/>
      <c r="M13" s="14">
        <f>1.4+0.8+0.65+2</f>
        <v>4.85</v>
      </c>
      <c r="N13" s="14"/>
      <c r="O13" s="14">
        <f t="shared" si="0"/>
        <v>25.35</v>
      </c>
      <c r="P13" s="14">
        <f t="shared" si="1"/>
        <v>0.8608333333333333</v>
      </c>
    </row>
    <row r="14" spans="1:16" ht="30" customHeight="1">
      <c r="A14" s="12">
        <f t="shared" si="2"/>
        <v>3</v>
      </c>
      <c r="B14" s="13" t="s">
        <v>17</v>
      </c>
      <c r="C14" s="14">
        <f>-1.4+9.3</f>
        <v>7.9</v>
      </c>
      <c r="D14" s="14"/>
      <c r="E14" s="14">
        <v>0</v>
      </c>
      <c r="F14" s="14"/>
      <c r="G14" s="14">
        <f>1.4+4</f>
        <v>5.4</v>
      </c>
      <c r="H14" s="14"/>
      <c r="I14" s="14">
        <f>-1.4+9.3</f>
        <v>7.9</v>
      </c>
      <c r="J14" s="14"/>
      <c r="K14" s="14">
        <v>0</v>
      </c>
      <c r="L14" s="14"/>
      <c r="M14" s="14">
        <f>1.4+4</f>
        <v>5.4</v>
      </c>
      <c r="N14" s="14"/>
      <c r="O14" s="14">
        <f t="shared" si="0"/>
        <v>26.6</v>
      </c>
      <c r="P14" s="14">
        <f t="shared" si="1"/>
        <v>0.8691666666666669</v>
      </c>
    </row>
    <row r="15" spans="1:16" ht="30" customHeight="1">
      <c r="A15" s="12">
        <f t="shared" si="2"/>
        <v>4</v>
      </c>
      <c r="B15" s="13" t="s">
        <v>18</v>
      </c>
      <c r="C15" s="14">
        <f>-1.4+11.8</f>
        <v>10.4</v>
      </c>
      <c r="D15" s="14"/>
      <c r="E15" s="14">
        <v>3</v>
      </c>
      <c r="F15" s="14"/>
      <c r="G15" s="14">
        <f>1.4+9+2+0.3</f>
        <v>12.700000000000001</v>
      </c>
      <c r="H15" s="14"/>
      <c r="I15" s="14">
        <f>-1.4+11.4</f>
        <v>10</v>
      </c>
      <c r="J15" s="14"/>
      <c r="K15" s="14">
        <v>0</v>
      </c>
      <c r="L15" s="14"/>
      <c r="M15" s="14">
        <f>1.4+0.3</f>
        <v>1.7</v>
      </c>
      <c r="N15" s="14"/>
      <c r="O15" s="14">
        <f t="shared" si="0"/>
        <v>37.800000000000004</v>
      </c>
      <c r="P15" s="14">
        <f t="shared" si="1"/>
        <v>1.4300000000000002</v>
      </c>
    </row>
    <row r="16" spans="1:16" ht="30" customHeight="1">
      <c r="A16" s="12">
        <f t="shared" si="2"/>
        <v>5</v>
      </c>
      <c r="B16" s="13" t="s">
        <v>19</v>
      </c>
      <c r="C16" s="14">
        <f>-1.4+3</f>
        <v>1.6</v>
      </c>
      <c r="D16" s="14"/>
      <c r="E16" s="14">
        <v>1.5</v>
      </c>
      <c r="F16" s="14"/>
      <c r="G16" s="14">
        <f>1.4+6.5</f>
        <v>7.9</v>
      </c>
      <c r="H16" s="14"/>
      <c r="I16" s="14">
        <f>-1.4+3+0.4</f>
        <v>2</v>
      </c>
      <c r="J16" s="14"/>
      <c r="K16" s="14">
        <v>1.5</v>
      </c>
      <c r="L16" s="14"/>
      <c r="M16" s="14">
        <f>1.4+6.5</f>
        <v>7.9</v>
      </c>
      <c r="N16" s="14"/>
      <c r="O16" s="14">
        <f t="shared" si="0"/>
        <v>22.4</v>
      </c>
      <c r="P16" s="14">
        <f t="shared" si="1"/>
        <v>0.9433333333333334</v>
      </c>
    </row>
    <row r="17" spans="1:16" ht="30" customHeight="1">
      <c r="A17" s="12">
        <f t="shared" si="2"/>
        <v>6</v>
      </c>
      <c r="B17" s="13" t="s">
        <v>20</v>
      </c>
      <c r="C17" s="14">
        <f>-1.4+35</f>
        <v>33.6</v>
      </c>
      <c r="D17" s="14"/>
      <c r="E17" s="14">
        <v>1.5</v>
      </c>
      <c r="F17" s="14"/>
      <c r="G17" s="14">
        <f>1.4</f>
        <v>1.4</v>
      </c>
      <c r="H17" s="14"/>
      <c r="I17" s="14">
        <f>-1.4+35</f>
        <v>33.6</v>
      </c>
      <c r="J17" s="14"/>
      <c r="K17" s="14">
        <v>1.5</v>
      </c>
      <c r="L17" s="14"/>
      <c r="M17" s="14">
        <f>1.4+0</f>
        <v>1.4</v>
      </c>
      <c r="N17" s="14"/>
      <c r="O17" s="14">
        <f t="shared" si="0"/>
        <v>73</v>
      </c>
      <c r="P17" s="14">
        <f t="shared" si="1"/>
        <v>1.62</v>
      </c>
    </row>
    <row r="18" spans="1:16" ht="30" customHeight="1">
      <c r="A18" s="12">
        <f t="shared" si="2"/>
        <v>7</v>
      </c>
      <c r="B18" s="13" t="s">
        <v>21</v>
      </c>
      <c r="C18" s="14">
        <f>-1.4+5.9</f>
        <v>4.5</v>
      </c>
      <c r="D18" s="14"/>
      <c r="E18" s="14">
        <v>0.25</v>
      </c>
      <c r="F18" s="14"/>
      <c r="G18" s="14">
        <f>1.4+6.6+5.5+(0.182+0.215+0.17+0.106+0.175+0.125+0.24+0.15+0.3+0.17+0.07)</f>
        <v>15.403</v>
      </c>
      <c r="H18" s="14"/>
      <c r="I18" s="14">
        <f>-1.4+C18</f>
        <v>3.1</v>
      </c>
      <c r="J18" s="14"/>
      <c r="K18" s="14">
        <v>0.25</v>
      </c>
      <c r="L18" s="14"/>
      <c r="M18" s="14">
        <f>1.4+6.6+5.5</f>
        <v>13.5</v>
      </c>
      <c r="N18" s="14"/>
      <c r="O18" s="14">
        <f t="shared" si="0"/>
        <v>37.003</v>
      </c>
      <c r="P18" s="14">
        <f t="shared" si="1"/>
        <v>1.6543666666666665</v>
      </c>
    </row>
    <row r="19" spans="1:16" ht="30" customHeight="1">
      <c r="A19" s="12">
        <f t="shared" si="2"/>
        <v>8</v>
      </c>
      <c r="B19" s="13" t="s">
        <v>22</v>
      </c>
      <c r="C19" s="14">
        <f>-1.4+12.6</f>
        <v>11.2</v>
      </c>
      <c r="D19" s="14"/>
      <c r="E19" s="14">
        <v>0.5</v>
      </c>
      <c r="F19" s="14"/>
      <c r="G19" s="14">
        <f>1.4+0.3</f>
        <v>1.7</v>
      </c>
      <c r="H19" s="14"/>
      <c r="I19" s="14">
        <f>-1.4+12.6</f>
        <v>11.2</v>
      </c>
      <c r="J19" s="14"/>
      <c r="K19" s="14">
        <v>0</v>
      </c>
      <c r="L19" s="14"/>
      <c r="M19" s="14">
        <f>1.4+0</f>
        <v>1.4</v>
      </c>
      <c r="N19" s="14"/>
      <c r="O19" s="14">
        <f t="shared" si="0"/>
        <v>25.999999999999996</v>
      </c>
      <c r="P19" s="14">
        <f t="shared" si="1"/>
        <v>0.6433333333333333</v>
      </c>
    </row>
    <row r="20" spans="1:16" ht="30" customHeight="1">
      <c r="A20" s="12">
        <f t="shared" si="2"/>
        <v>9</v>
      </c>
      <c r="B20" s="13" t="s">
        <v>23</v>
      </c>
      <c r="C20" s="14" t="s">
        <v>24</v>
      </c>
      <c r="D20" s="14"/>
      <c r="E20" s="14" t="s">
        <v>24</v>
      </c>
      <c r="F20" s="14"/>
      <c r="G20" s="14" t="s">
        <v>24</v>
      </c>
      <c r="H20" s="14"/>
      <c r="I20" s="14" t="s">
        <v>24</v>
      </c>
      <c r="J20" s="14"/>
      <c r="K20" s="14" t="s">
        <v>24</v>
      </c>
      <c r="L20" s="14"/>
      <c r="M20" s="14" t="s">
        <v>24</v>
      </c>
      <c r="N20" s="14"/>
      <c r="O20" s="14">
        <v>0</v>
      </c>
      <c r="P20" s="14">
        <v>0</v>
      </c>
    </row>
    <row r="21" spans="1:16" ht="30" customHeight="1">
      <c r="A21" s="12">
        <f t="shared" si="2"/>
        <v>10</v>
      </c>
      <c r="B21" s="13" t="s">
        <v>25</v>
      </c>
      <c r="C21" s="14">
        <f>-1.4+7+4+1</f>
        <v>10.6</v>
      </c>
      <c r="D21" s="14"/>
      <c r="E21" s="14">
        <v>3</v>
      </c>
      <c r="F21" s="14"/>
      <c r="G21" s="14">
        <f>1.4+15</f>
        <v>16.4</v>
      </c>
      <c r="H21" s="14"/>
      <c r="I21" s="14">
        <f aca="true" t="shared" si="3" ref="I21:I22">-1.4+12</f>
        <v>10.6</v>
      </c>
      <c r="J21" s="14"/>
      <c r="K21" s="14">
        <v>0</v>
      </c>
      <c r="L21" s="14"/>
      <c r="M21" s="14">
        <f>1.4+15</f>
        <v>16.4</v>
      </c>
      <c r="N21" s="14"/>
      <c r="O21" s="14">
        <f aca="true" t="shared" si="4" ref="O21:O29">C21+E21+G21+I21+K21+M21</f>
        <v>57</v>
      </c>
      <c r="P21" s="14">
        <f aca="true" t="shared" si="5" ref="P21:P29">(C21/$D$12)+(E21/$F$12)+(G21/$H$12)+(I21/$J$12)+(K21/$L$12)+(M21/$N$12)</f>
        <v>2.1816666666666666</v>
      </c>
    </row>
    <row r="22" spans="1:16" ht="30" customHeight="1">
      <c r="A22" s="12">
        <f t="shared" si="2"/>
        <v>11</v>
      </c>
      <c r="B22" s="13" t="s">
        <v>26</v>
      </c>
      <c r="C22" s="14">
        <f>-1.4+7.5+7+3.9+2</f>
        <v>19</v>
      </c>
      <c r="D22" s="14"/>
      <c r="E22" s="14">
        <v>2.5</v>
      </c>
      <c r="F22" s="14"/>
      <c r="G22" s="14">
        <f>1.4+(((2.74+2.43+1.3)*1.5))+10+10</f>
        <v>31.105</v>
      </c>
      <c r="H22" s="14"/>
      <c r="I22" s="14">
        <f t="shared" si="3"/>
        <v>10.6</v>
      </c>
      <c r="J22" s="14"/>
      <c r="K22" s="14">
        <v>0</v>
      </c>
      <c r="L22" s="14"/>
      <c r="M22" s="14">
        <f>1.4+13.5</f>
        <v>14.9</v>
      </c>
      <c r="N22" s="14"/>
      <c r="O22" s="14">
        <f t="shared" si="4"/>
        <v>78.105</v>
      </c>
      <c r="P22" s="14">
        <f t="shared" si="5"/>
        <v>3.305333333333333</v>
      </c>
    </row>
    <row r="23" spans="1:16" ht="30" customHeight="1">
      <c r="A23" s="12">
        <f t="shared" si="2"/>
        <v>12</v>
      </c>
      <c r="B23" s="13" t="s">
        <v>27</v>
      </c>
      <c r="C23" s="14">
        <f>-1.4+8.6</f>
        <v>7.199999999999999</v>
      </c>
      <c r="D23" s="14"/>
      <c r="E23" s="14">
        <v>0.6</v>
      </c>
      <c r="F23" s="14"/>
      <c r="G23" s="14">
        <f>1.4+8.2</f>
        <v>9.6</v>
      </c>
      <c r="H23" s="14"/>
      <c r="I23" s="14">
        <f>-1.4+8.6</f>
        <v>7.199999999999999</v>
      </c>
      <c r="J23" s="14"/>
      <c r="K23" s="14">
        <v>0.6</v>
      </c>
      <c r="L23" s="14"/>
      <c r="M23" s="14">
        <f>1.4+4.35</f>
        <v>5.75</v>
      </c>
      <c r="N23" s="14"/>
      <c r="O23" s="14">
        <f t="shared" si="4"/>
        <v>30.95</v>
      </c>
      <c r="P23" s="14">
        <f t="shared" si="5"/>
        <v>1.1636666666666666</v>
      </c>
    </row>
    <row r="24" spans="1:16" ht="30" customHeight="1">
      <c r="A24" s="12">
        <f t="shared" si="2"/>
        <v>13</v>
      </c>
      <c r="B24" s="13" t="s">
        <v>28</v>
      </c>
      <c r="C24" s="14">
        <f>-1.4+15</f>
        <v>13.6</v>
      </c>
      <c r="D24" s="14"/>
      <c r="E24" s="14">
        <v>0</v>
      </c>
      <c r="F24" s="14"/>
      <c r="G24" s="14">
        <f>1.4+14.35</f>
        <v>15.75</v>
      </c>
      <c r="H24" s="14"/>
      <c r="I24" s="14">
        <f>-1.4+15</f>
        <v>13.6</v>
      </c>
      <c r="J24" s="14"/>
      <c r="K24" s="14">
        <v>0</v>
      </c>
      <c r="L24" s="14"/>
      <c r="M24" s="14">
        <f>1.4+14.35</f>
        <v>15.75</v>
      </c>
      <c r="N24" s="14"/>
      <c r="O24" s="14">
        <f t="shared" si="4"/>
        <v>58.7</v>
      </c>
      <c r="P24" s="14">
        <f t="shared" si="5"/>
        <v>2.1416666666666666</v>
      </c>
    </row>
    <row r="25" spans="1:16" ht="30" customHeight="1">
      <c r="A25" s="12">
        <f t="shared" si="2"/>
        <v>14</v>
      </c>
      <c r="B25" s="13" t="s">
        <v>29</v>
      </c>
      <c r="C25" s="14">
        <f>-1.4+17.5</f>
        <v>16.1</v>
      </c>
      <c r="D25" s="14"/>
      <c r="E25" s="14">
        <v>0</v>
      </c>
      <c r="F25" s="14"/>
      <c r="G25" s="14">
        <v>1.4</v>
      </c>
      <c r="H25" s="14"/>
      <c r="I25" s="14">
        <f>-1.4+17.5</f>
        <v>16.1</v>
      </c>
      <c r="J25" s="14"/>
      <c r="K25" s="14">
        <v>0</v>
      </c>
      <c r="L25" s="14"/>
      <c r="M25" s="14">
        <f>1.4+0</f>
        <v>1.4</v>
      </c>
      <c r="N25" s="14"/>
      <c r="O25" s="14">
        <f t="shared" si="4"/>
        <v>35</v>
      </c>
      <c r="P25" s="14">
        <f t="shared" si="5"/>
        <v>0.8108333333333333</v>
      </c>
    </row>
    <row r="26" spans="1:16" ht="30" customHeight="1">
      <c r="A26" s="12">
        <f t="shared" si="2"/>
        <v>15</v>
      </c>
      <c r="B26" s="13" t="s">
        <v>30</v>
      </c>
      <c r="C26" s="14">
        <v>0</v>
      </c>
      <c r="D26" s="14"/>
      <c r="E26" s="14">
        <v>0</v>
      </c>
      <c r="F26" s="14"/>
      <c r="G26" s="14">
        <f>1.4+5.25</f>
        <v>6.65</v>
      </c>
      <c r="H26" s="14"/>
      <c r="I26" s="14">
        <v>0</v>
      </c>
      <c r="J26" s="14"/>
      <c r="K26" s="14">
        <v>0</v>
      </c>
      <c r="L26" s="14"/>
      <c r="M26" s="14">
        <f>1.4+2</f>
        <v>3.4</v>
      </c>
      <c r="N26" s="14"/>
      <c r="O26" s="14">
        <f t="shared" si="4"/>
        <v>10.05</v>
      </c>
      <c r="P26" s="14">
        <f t="shared" si="5"/>
        <v>0.5566666666666666</v>
      </c>
    </row>
    <row r="27" spans="1:16" ht="30" customHeight="1">
      <c r="A27" s="12">
        <f t="shared" si="2"/>
        <v>16</v>
      </c>
      <c r="B27" s="13" t="s">
        <v>31</v>
      </c>
      <c r="C27" s="14">
        <f>-1.4+9.3</f>
        <v>7.9</v>
      </c>
      <c r="D27" s="14"/>
      <c r="E27" s="14">
        <v>0.4</v>
      </c>
      <c r="F27" s="14"/>
      <c r="G27" s="14">
        <f>1.4+6.8</f>
        <v>8.2</v>
      </c>
      <c r="H27" s="14"/>
      <c r="I27" s="14">
        <f>-1.4+9.3</f>
        <v>7.9</v>
      </c>
      <c r="J27" s="14"/>
      <c r="K27" s="14">
        <v>0</v>
      </c>
      <c r="L27" s="14"/>
      <c r="M27" s="14">
        <f>1.4+5.5</f>
        <v>6.9</v>
      </c>
      <c r="N27" s="14"/>
      <c r="O27" s="14">
        <f t="shared" si="4"/>
        <v>31.299999999999997</v>
      </c>
      <c r="P27" s="14">
        <f t="shared" si="5"/>
        <v>1.1191666666666666</v>
      </c>
    </row>
    <row r="28" spans="1:16" ht="30" customHeight="1">
      <c r="A28" s="12">
        <f t="shared" si="2"/>
        <v>17</v>
      </c>
      <c r="B28" s="13" t="s">
        <v>32</v>
      </c>
      <c r="C28" s="14">
        <f>-1.4+12.6</f>
        <v>11.2</v>
      </c>
      <c r="D28" s="14"/>
      <c r="E28" s="14">
        <v>0.2</v>
      </c>
      <c r="F28" s="14"/>
      <c r="G28" s="14">
        <f>1.4+2.4+0.8</f>
        <v>4.6</v>
      </c>
      <c r="H28" s="14"/>
      <c r="I28" s="14">
        <f>-1.4+12.6</f>
        <v>11.2</v>
      </c>
      <c r="J28" s="14"/>
      <c r="K28" s="14">
        <v>0</v>
      </c>
      <c r="L28" s="14"/>
      <c r="M28" s="14">
        <f>1.4+2.4</f>
        <v>3.8</v>
      </c>
      <c r="N28" s="14"/>
      <c r="O28" s="14">
        <f t="shared" si="4"/>
        <v>30.999999999999996</v>
      </c>
      <c r="P28" s="14">
        <f t="shared" si="5"/>
        <v>0.9066666666666665</v>
      </c>
    </row>
    <row r="29" spans="1:16" ht="30" customHeight="1">
      <c r="A29" s="12">
        <f t="shared" si="2"/>
        <v>18</v>
      </c>
      <c r="B29" s="13" t="s">
        <v>33</v>
      </c>
      <c r="C29" s="14">
        <v>0</v>
      </c>
      <c r="D29" s="14"/>
      <c r="E29" s="14">
        <v>0</v>
      </c>
      <c r="F29" s="14"/>
      <c r="G29" s="14">
        <f>1.4+11.25</f>
        <v>12.65</v>
      </c>
      <c r="H29" s="14"/>
      <c r="I29" s="14">
        <v>0</v>
      </c>
      <c r="J29" s="14"/>
      <c r="K29" s="14">
        <v>0</v>
      </c>
      <c r="L29" s="14"/>
      <c r="M29" s="14">
        <f>1.4+2.5</f>
        <v>3.9</v>
      </c>
      <c r="N29" s="14"/>
      <c r="O29" s="14">
        <f t="shared" si="4"/>
        <v>16.55</v>
      </c>
      <c r="P29" s="14">
        <f t="shared" si="5"/>
        <v>0.9733333333333334</v>
      </c>
    </row>
    <row r="30" spans="3:16" ht="30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f>SUM(O12:O29)</f>
        <v>634.808</v>
      </c>
      <c r="P30" s="16">
        <f>SUM(P12:P29)</f>
        <v>22.852533333333334</v>
      </c>
    </row>
    <row r="31" spans="3:16" ht="16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3:16" ht="15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16" ht="15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3:16" ht="15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3:16" ht="15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5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3:16" ht="15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3:16" ht="15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3:16" ht="15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3:16" ht="15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3:16" ht="15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3:16" ht="15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3:16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3:16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3:16" ht="15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3:16" ht="15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3:16" ht="15.7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3:16" ht="15.7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3:16" ht="15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3:16" ht="15.7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3:16" ht="15.7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3:16" ht="15.7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3:16" ht="15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3:16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3:16" ht="15.7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3:16" ht="15.7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3:16" ht="15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3:16" ht="15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3:16" ht="15.7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3:16" ht="15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3:16" ht="15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3:16" ht="15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3:16" ht="15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3:16" ht="15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3:16" ht="15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3:16" ht="15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3:16" ht="15.75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3:16" ht="15.7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3:16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3:16" ht="15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3:16" ht="15.75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3:16" ht="15.75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3:16" ht="15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3:16" ht="15.7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3:16" ht="15.7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3:16" ht="15.7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3:16" ht="15.7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3:16" ht="15.7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3:16" ht="15.7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3:16" ht="15.7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3:16" ht="15.7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3:16" ht="15.7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3:16" ht="15.7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3:16" ht="15.7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3:16" ht="15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3:16" ht="15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3:16" ht="15.7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3:16" ht="15.7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3:16" ht="15.7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3:16" ht="15.7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3:16" ht="15.7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3:16" ht="15.7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3:16" ht="15.7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3:16" ht="15.7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3:16" ht="15.7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3:16" ht="15.7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3:16" ht="15.7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3:16" ht="15.7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</sheetData>
  <sheetProtection selectLockedCells="1" selectUnlockedCells="1"/>
  <mergeCells count="20">
    <mergeCell ref="A6:P6"/>
    <mergeCell ref="A8:B11"/>
    <mergeCell ref="C8:H8"/>
    <mergeCell ref="I8:N8"/>
    <mergeCell ref="O8:O10"/>
    <mergeCell ref="P8:P10"/>
    <mergeCell ref="C9:H9"/>
    <mergeCell ref="I9:N9"/>
    <mergeCell ref="C10:D10"/>
    <mergeCell ref="E10:F10"/>
    <mergeCell ref="G10:H10"/>
    <mergeCell ref="I10:J10"/>
    <mergeCell ref="K10:L10"/>
    <mergeCell ref="M10:N10"/>
    <mergeCell ref="D12:D29"/>
    <mergeCell ref="F12:F29"/>
    <mergeCell ref="H12:H29"/>
    <mergeCell ref="J12:J29"/>
    <mergeCell ref="L12:L29"/>
    <mergeCell ref="N12:N29"/>
  </mergeCells>
  <printOptions/>
  <pageMargins left="0.3541666666666667" right="0.39375" top="0.7875" bottom="0.7875" header="0.5118110236220472" footer="0.5118110236220472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31"/>
  <sheetViews>
    <sheetView workbookViewId="0" topLeftCell="A1">
      <selection activeCell="F30" sqref="F30"/>
    </sheetView>
  </sheetViews>
  <sheetFormatPr defaultColWidth="9.140625" defaultRowHeight="15"/>
  <cols>
    <col min="1" max="1" width="4.28125" style="1" customWidth="1"/>
    <col min="2" max="2" width="36.00390625" style="2" customWidth="1"/>
    <col min="3" max="3" width="16.421875" style="1" customWidth="1"/>
    <col min="4" max="6" width="16.421875" style="2" customWidth="1"/>
    <col min="7" max="16384" width="9.140625" style="2" customWidth="1"/>
  </cols>
  <sheetData>
    <row r="1" ht="15.75"/>
    <row r="2" ht="15.75"/>
    <row r="3" ht="15.75"/>
    <row r="4" ht="15.75"/>
    <row r="5" ht="15.75"/>
    <row r="7" spans="1:6" ht="15.75">
      <c r="A7" s="17" t="s">
        <v>34</v>
      </c>
      <c r="B7" s="17"/>
      <c r="C7" s="17"/>
      <c r="D7" s="17"/>
      <c r="E7" s="17"/>
      <c r="F7" s="17"/>
    </row>
    <row r="9" spans="1:6" ht="48.75">
      <c r="A9" s="4" t="s">
        <v>35</v>
      </c>
      <c r="B9" s="4"/>
      <c r="C9" s="18" t="s">
        <v>36</v>
      </c>
      <c r="D9" s="18" t="s">
        <v>37</v>
      </c>
      <c r="E9" s="18" t="s">
        <v>38</v>
      </c>
      <c r="F9" s="18" t="s">
        <v>39</v>
      </c>
    </row>
    <row r="10" spans="1:6" ht="21.75" customHeight="1">
      <c r="A10" s="12">
        <v>1</v>
      </c>
      <c r="B10" s="19" t="s">
        <v>15</v>
      </c>
      <c r="C10" s="12">
        <v>24</v>
      </c>
      <c r="D10" s="20">
        <f>Tempo!P12</f>
        <v>1.6724999999999997</v>
      </c>
      <c r="E10" s="20">
        <f aca="true" t="shared" si="0" ref="E10:E17">C10*D10</f>
        <v>40.13999999999999</v>
      </c>
      <c r="F10" s="20">
        <f aca="true" t="shared" si="1" ref="F10:F17">E10*12</f>
        <v>481.67999999999995</v>
      </c>
    </row>
    <row r="11" spans="1:6" ht="21.75" customHeight="1">
      <c r="A11" s="12">
        <v>2</v>
      </c>
      <c r="B11" s="19" t="s">
        <v>16</v>
      </c>
      <c r="C11" s="12">
        <v>6</v>
      </c>
      <c r="D11" s="20">
        <f>Tempo!P13</f>
        <v>0.8608333333333333</v>
      </c>
      <c r="E11" s="20">
        <f t="shared" si="0"/>
        <v>5.165</v>
      </c>
      <c r="F11" s="20">
        <f t="shared" si="1"/>
        <v>61.980000000000004</v>
      </c>
    </row>
    <row r="12" spans="1:6" ht="21.75" customHeight="1">
      <c r="A12" s="12">
        <v>3</v>
      </c>
      <c r="B12" s="19" t="s">
        <v>17</v>
      </c>
      <c r="C12" s="12">
        <v>4</v>
      </c>
      <c r="D12" s="20">
        <f>Tempo!P14</f>
        <v>0.8691666666666669</v>
      </c>
      <c r="E12" s="20">
        <f t="shared" si="0"/>
        <v>3.4766666666666675</v>
      </c>
      <c r="F12" s="20">
        <f t="shared" si="1"/>
        <v>41.72000000000001</v>
      </c>
    </row>
    <row r="13" spans="1:6" ht="21.75" customHeight="1">
      <c r="A13" s="12">
        <v>4</v>
      </c>
      <c r="B13" s="19" t="s">
        <v>18</v>
      </c>
      <c r="C13" s="12">
        <v>30</v>
      </c>
      <c r="D13" s="20">
        <f>Tempo!P15</f>
        <v>1.4300000000000002</v>
      </c>
      <c r="E13" s="20">
        <f t="shared" si="0"/>
        <v>42.900000000000006</v>
      </c>
      <c r="F13" s="20">
        <f t="shared" si="1"/>
        <v>514.8000000000001</v>
      </c>
    </row>
    <row r="14" spans="1:6" ht="21.75" customHeight="1">
      <c r="A14" s="12">
        <v>5</v>
      </c>
      <c r="B14" s="19" t="s">
        <v>19</v>
      </c>
      <c r="C14" s="12">
        <v>10</v>
      </c>
      <c r="D14" s="20">
        <f>Tempo!P16</f>
        <v>0.9433333333333334</v>
      </c>
      <c r="E14" s="20">
        <f t="shared" si="0"/>
        <v>9.433333333333334</v>
      </c>
      <c r="F14" s="20">
        <f t="shared" si="1"/>
        <v>113.2</v>
      </c>
    </row>
    <row r="15" spans="1:6" ht="21.75" customHeight="1">
      <c r="A15" s="12">
        <v>6</v>
      </c>
      <c r="B15" s="19" t="s">
        <v>20</v>
      </c>
      <c r="C15" s="12">
        <v>36</v>
      </c>
      <c r="D15" s="20">
        <f>Tempo!P17</f>
        <v>1.62</v>
      </c>
      <c r="E15" s="20">
        <f t="shared" si="0"/>
        <v>58.32000000000001</v>
      </c>
      <c r="F15" s="20">
        <f t="shared" si="1"/>
        <v>699.8400000000001</v>
      </c>
    </row>
    <row r="16" spans="1:6" ht="21.75" customHeight="1">
      <c r="A16" s="12">
        <v>7</v>
      </c>
      <c r="B16" s="19" t="s">
        <v>21</v>
      </c>
      <c r="C16" s="12">
        <v>40</v>
      </c>
      <c r="D16" s="20">
        <f>Tempo!P18</f>
        <v>1.6543666666666665</v>
      </c>
      <c r="E16" s="20">
        <f t="shared" si="0"/>
        <v>66.17466666666667</v>
      </c>
      <c r="F16" s="20">
        <f t="shared" si="1"/>
        <v>794.096</v>
      </c>
    </row>
    <row r="17" spans="1:6" ht="21.75" customHeight="1">
      <c r="A17" s="12">
        <v>8</v>
      </c>
      <c r="B17" s="19" t="s">
        <v>22</v>
      </c>
      <c r="C17" s="12">
        <v>32</v>
      </c>
      <c r="D17" s="20">
        <f>Tempo!P19</f>
        <v>0.6433333333333333</v>
      </c>
      <c r="E17" s="20">
        <f t="shared" si="0"/>
        <v>20.586666666666666</v>
      </c>
      <c r="F17" s="20">
        <f t="shared" si="1"/>
        <v>247.04</v>
      </c>
    </row>
    <row r="18" spans="1:6" ht="21.75" customHeight="1">
      <c r="A18" s="12">
        <v>9</v>
      </c>
      <c r="B18" s="19" t="s">
        <v>40</v>
      </c>
      <c r="C18" s="21" t="s">
        <v>41</v>
      </c>
      <c r="D18" s="21"/>
      <c r="E18" s="21"/>
      <c r="F18" s="21"/>
    </row>
    <row r="19" spans="1:6" ht="21.75" customHeight="1">
      <c r="A19" s="12">
        <v>10</v>
      </c>
      <c r="B19" s="19" t="s">
        <v>25</v>
      </c>
      <c r="C19" s="12">
        <v>20</v>
      </c>
      <c r="D19" s="20">
        <f>Tempo!P21</f>
        <v>2.1816666666666666</v>
      </c>
      <c r="E19" s="20">
        <f aca="true" t="shared" si="2" ref="E19:E27">C19*D19</f>
        <v>43.63333333333333</v>
      </c>
      <c r="F19" s="20">
        <f aca="true" t="shared" si="3" ref="F19:F27">E19*12</f>
        <v>523.6</v>
      </c>
    </row>
    <row r="20" spans="1:6" ht="21.75" customHeight="1">
      <c r="A20" s="12">
        <v>11</v>
      </c>
      <c r="B20" s="19" t="s">
        <v>26</v>
      </c>
      <c r="C20" s="12">
        <v>24</v>
      </c>
      <c r="D20" s="20">
        <f>Tempo!P22</f>
        <v>3.305333333333333</v>
      </c>
      <c r="E20" s="20">
        <f t="shared" si="2"/>
        <v>79.32799999999999</v>
      </c>
      <c r="F20" s="20">
        <f t="shared" si="3"/>
        <v>951.9359999999999</v>
      </c>
    </row>
    <row r="21" spans="1:6" ht="21.75" customHeight="1">
      <c r="A21" s="12">
        <v>12</v>
      </c>
      <c r="B21" s="19" t="s">
        <v>27</v>
      </c>
      <c r="C21" s="12">
        <v>2</v>
      </c>
      <c r="D21" s="20">
        <f>Tempo!P23</f>
        <v>1.1636666666666666</v>
      </c>
      <c r="E21" s="20">
        <f t="shared" si="2"/>
        <v>2.3273333333333333</v>
      </c>
      <c r="F21" s="20">
        <f t="shared" si="3"/>
        <v>27.927999999999997</v>
      </c>
    </row>
    <row r="22" spans="1:6" ht="21.75" customHeight="1">
      <c r="A22" s="12">
        <v>13</v>
      </c>
      <c r="B22" s="19" t="s">
        <v>28</v>
      </c>
      <c r="C22" s="12">
        <v>2</v>
      </c>
      <c r="D22" s="20">
        <f>Tempo!P24</f>
        <v>2.1416666666666666</v>
      </c>
      <c r="E22" s="20">
        <f t="shared" si="2"/>
        <v>4.283333333333333</v>
      </c>
      <c r="F22" s="20">
        <f t="shared" si="3"/>
        <v>51.4</v>
      </c>
    </row>
    <row r="23" spans="1:6" ht="21.75" customHeight="1">
      <c r="A23" s="12">
        <v>14</v>
      </c>
      <c r="B23" s="19" t="s">
        <v>29</v>
      </c>
      <c r="C23" s="12">
        <v>2</v>
      </c>
      <c r="D23" s="20">
        <f>Tempo!P25</f>
        <v>0.8108333333333333</v>
      </c>
      <c r="E23" s="20">
        <f t="shared" si="2"/>
        <v>1.6216666666666666</v>
      </c>
      <c r="F23" s="20">
        <f t="shared" si="3"/>
        <v>19.46</v>
      </c>
    </row>
    <row r="24" spans="1:6" ht="21.75" customHeight="1">
      <c r="A24" s="12">
        <v>15</v>
      </c>
      <c r="B24" s="19" t="s">
        <v>30</v>
      </c>
      <c r="C24" s="12">
        <f>24/12</f>
        <v>2</v>
      </c>
      <c r="D24" s="20">
        <f>Tempo!P26</f>
        <v>0.5566666666666666</v>
      </c>
      <c r="E24" s="20">
        <f t="shared" si="2"/>
        <v>1.1133333333333333</v>
      </c>
      <c r="F24" s="20">
        <f t="shared" si="3"/>
        <v>13.36</v>
      </c>
    </row>
    <row r="25" spans="1:6" ht="21.75" customHeight="1">
      <c r="A25" s="12">
        <v>16</v>
      </c>
      <c r="B25" s="19" t="s">
        <v>31</v>
      </c>
      <c r="C25" s="12">
        <v>6</v>
      </c>
      <c r="D25" s="20">
        <f>Tempo!P27</f>
        <v>1.1191666666666666</v>
      </c>
      <c r="E25" s="20">
        <f t="shared" si="2"/>
        <v>6.715</v>
      </c>
      <c r="F25" s="20">
        <f t="shared" si="3"/>
        <v>80.58</v>
      </c>
    </row>
    <row r="26" spans="1:6" ht="21.75" customHeight="1">
      <c r="A26" s="12">
        <v>17</v>
      </c>
      <c r="B26" s="19" t="s">
        <v>32</v>
      </c>
      <c r="C26" s="12">
        <v>6</v>
      </c>
      <c r="D26" s="20">
        <f>Tempo!P28</f>
        <v>0.9066666666666665</v>
      </c>
      <c r="E26" s="20">
        <f t="shared" si="2"/>
        <v>5.4399999999999995</v>
      </c>
      <c r="F26" s="20">
        <f t="shared" si="3"/>
        <v>65.28</v>
      </c>
    </row>
    <row r="27" spans="1:6" ht="21.75" customHeight="1">
      <c r="A27" s="12">
        <v>18</v>
      </c>
      <c r="B27" s="19" t="s">
        <v>33</v>
      </c>
      <c r="C27" s="12">
        <v>1</v>
      </c>
      <c r="D27" s="20">
        <f>Tempo!P29</f>
        <v>0.9733333333333334</v>
      </c>
      <c r="E27" s="20">
        <f t="shared" si="2"/>
        <v>0.9733333333333334</v>
      </c>
      <c r="F27" s="20">
        <f t="shared" si="3"/>
        <v>11.68</v>
      </c>
    </row>
    <row r="28" spans="1:6" ht="21.75" customHeight="1">
      <c r="A28" s="22"/>
      <c r="B28" s="23" t="s">
        <v>42</v>
      </c>
      <c r="C28" s="24">
        <f>SUM(C10:C27)</f>
        <v>247</v>
      </c>
      <c r="D28" s="25">
        <f>SUM(D10:D27)</f>
        <v>22.852533333333334</v>
      </c>
      <c r="E28" s="25">
        <f>SUM(E10:E27)</f>
        <v>391.63166666666666</v>
      </c>
      <c r="F28" s="25">
        <f>SUM(F10:F27)</f>
        <v>4699.58</v>
      </c>
    </row>
    <row r="30" spans="1:6" s="30" customFormat="1" ht="16.5" customHeight="1">
      <c r="A30" s="26" t="s">
        <v>43</v>
      </c>
      <c r="B30" s="27"/>
      <c r="C30" s="28"/>
      <c r="D30" s="29"/>
      <c r="E30" s="25">
        <f>E28</f>
        <v>391.63166666666666</v>
      </c>
      <c r="F30" s="25">
        <f>F28</f>
        <v>4699.58</v>
      </c>
    </row>
    <row r="31" spans="1:6" s="30" customFormat="1" ht="16.5" customHeight="1">
      <c r="A31" s="31" t="s">
        <v>44</v>
      </c>
      <c r="B31" s="32"/>
      <c r="C31" s="33"/>
      <c r="D31" s="34"/>
      <c r="E31" s="25"/>
      <c r="F31" s="25"/>
    </row>
  </sheetData>
  <sheetProtection selectLockedCells="1" selectUnlockedCells="1"/>
  <mergeCells count="5">
    <mergeCell ref="A7:F7"/>
    <mergeCell ref="A9:B9"/>
    <mergeCell ref="C18:F18"/>
    <mergeCell ref="E30:E31"/>
    <mergeCell ref="F30:F3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32"/>
  <sheetViews>
    <sheetView workbookViewId="0" topLeftCell="A1">
      <selection activeCell="B10" sqref="B10"/>
    </sheetView>
  </sheetViews>
  <sheetFormatPr defaultColWidth="9.140625" defaultRowHeight="15"/>
  <cols>
    <col min="1" max="1" width="3.421875" style="1" customWidth="1"/>
    <col min="2" max="2" width="34.140625" style="2" customWidth="1"/>
    <col min="3" max="3" width="14.00390625" style="2" customWidth="1"/>
    <col min="4" max="4" width="14.8515625" style="2" customWidth="1"/>
    <col min="5" max="5" width="14.00390625" style="1" customWidth="1"/>
    <col min="6" max="6" width="14.57421875" style="2" customWidth="1"/>
    <col min="7" max="8" width="13.57421875" style="2" customWidth="1"/>
    <col min="9" max="16384" width="9.140625" style="2" customWidth="1"/>
  </cols>
  <sheetData>
    <row r="1" ht="15.75"/>
    <row r="2" ht="15.75"/>
    <row r="3" ht="15.75"/>
    <row r="4" ht="15.75"/>
    <row r="7" spans="1:8" ht="15.75">
      <c r="A7" s="17" t="s">
        <v>45</v>
      </c>
      <c r="B7" s="17"/>
      <c r="C7" s="17"/>
      <c r="D7" s="17"/>
      <c r="E7" s="17"/>
      <c r="F7" s="17"/>
      <c r="G7" s="17"/>
      <c r="H7" s="17"/>
    </row>
    <row r="9" spans="1:8" ht="48">
      <c r="A9" s="4" t="s">
        <v>35</v>
      </c>
      <c r="B9" s="4"/>
      <c r="C9" s="18" t="s">
        <v>37</v>
      </c>
      <c r="D9" s="18" t="s">
        <v>46</v>
      </c>
      <c r="E9" s="18" t="s">
        <v>47</v>
      </c>
      <c r="F9" s="18" t="s">
        <v>48</v>
      </c>
      <c r="G9" s="18" t="s">
        <v>49</v>
      </c>
      <c r="H9" s="18" t="s">
        <v>50</v>
      </c>
    </row>
    <row r="10" spans="1:8" ht="24" customHeight="1">
      <c r="A10" s="12">
        <v>1</v>
      </c>
      <c r="B10" s="19" t="s">
        <v>15</v>
      </c>
      <c r="C10" s="20">
        <f>Tempo!P12</f>
        <v>1.6724999999999997</v>
      </c>
      <c r="D10" s="35">
        <f aca="true" t="shared" si="0" ref="D10:D17">ROUNDDOWN(2*(8-C10),0)</f>
        <v>12</v>
      </c>
      <c r="E10" s="12">
        <v>24</v>
      </c>
      <c r="F10" s="35">
        <f aca="true" t="shared" si="1" ref="F10:F17">D10*E10</f>
        <v>288</v>
      </c>
      <c r="G10" s="20">
        <f aca="true" t="shared" si="2" ref="G10:G17">F10*0.3</f>
        <v>86.39999999999999</v>
      </c>
      <c r="H10" s="20">
        <f aca="true" t="shared" si="3" ref="H10:H17">G10*12</f>
        <v>1036.8</v>
      </c>
    </row>
    <row r="11" spans="1:8" ht="24" customHeight="1">
      <c r="A11" s="12">
        <v>2</v>
      </c>
      <c r="B11" s="19" t="s">
        <v>16</v>
      </c>
      <c r="C11" s="20">
        <f>Tempo!P13</f>
        <v>0.8608333333333333</v>
      </c>
      <c r="D11" s="35">
        <f t="shared" si="0"/>
        <v>14</v>
      </c>
      <c r="E11" s="12">
        <v>6</v>
      </c>
      <c r="F11" s="35">
        <f t="shared" si="1"/>
        <v>84</v>
      </c>
      <c r="G11" s="20">
        <f t="shared" si="2"/>
        <v>25.2</v>
      </c>
      <c r="H11" s="20">
        <f t="shared" si="3"/>
        <v>302.4</v>
      </c>
    </row>
    <row r="12" spans="1:8" ht="24" customHeight="1">
      <c r="A12" s="12">
        <v>3</v>
      </c>
      <c r="B12" s="19" t="s">
        <v>17</v>
      </c>
      <c r="C12" s="20">
        <f>Tempo!P14</f>
        <v>0.8691666666666669</v>
      </c>
      <c r="D12" s="35">
        <f t="shared" si="0"/>
        <v>14</v>
      </c>
      <c r="E12" s="12">
        <v>4</v>
      </c>
      <c r="F12" s="35">
        <f t="shared" si="1"/>
        <v>56</v>
      </c>
      <c r="G12" s="20">
        <f t="shared" si="2"/>
        <v>16.8</v>
      </c>
      <c r="H12" s="20">
        <f t="shared" si="3"/>
        <v>201.60000000000002</v>
      </c>
    </row>
    <row r="13" spans="1:8" ht="24" customHeight="1">
      <c r="A13" s="12">
        <v>4</v>
      </c>
      <c r="B13" s="19" t="s">
        <v>18</v>
      </c>
      <c r="C13" s="20">
        <f>Tempo!P15</f>
        <v>1.4300000000000002</v>
      </c>
      <c r="D13" s="35">
        <f t="shared" si="0"/>
        <v>13</v>
      </c>
      <c r="E13" s="12">
        <v>30</v>
      </c>
      <c r="F13" s="35">
        <f t="shared" si="1"/>
        <v>390</v>
      </c>
      <c r="G13" s="20">
        <f t="shared" si="2"/>
        <v>117</v>
      </c>
      <c r="H13" s="20">
        <f t="shared" si="3"/>
        <v>1404</v>
      </c>
    </row>
    <row r="14" spans="1:8" ht="24" customHeight="1">
      <c r="A14" s="12">
        <v>5</v>
      </c>
      <c r="B14" s="19" t="s">
        <v>19</v>
      </c>
      <c r="C14" s="20">
        <f>Tempo!P16</f>
        <v>0.9433333333333334</v>
      </c>
      <c r="D14" s="35">
        <f t="shared" si="0"/>
        <v>14</v>
      </c>
      <c r="E14" s="12">
        <v>10</v>
      </c>
      <c r="F14" s="35">
        <f t="shared" si="1"/>
        <v>140</v>
      </c>
      <c r="G14" s="20">
        <f t="shared" si="2"/>
        <v>42</v>
      </c>
      <c r="H14" s="20">
        <f t="shared" si="3"/>
        <v>504</v>
      </c>
    </row>
    <row r="15" spans="1:8" ht="24" customHeight="1">
      <c r="A15" s="12">
        <v>6</v>
      </c>
      <c r="B15" s="19" t="s">
        <v>20</v>
      </c>
      <c r="C15" s="20">
        <f>Tempo!P17</f>
        <v>1.62</v>
      </c>
      <c r="D15" s="35">
        <f t="shared" si="0"/>
        <v>12</v>
      </c>
      <c r="E15" s="12">
        <v>36</v>
      </c>
      <c r="F15" s="35">
        <f t="shared" si="1"/>
        <v>432</v>
      </c>
      <c r="G15" s="20">
        <f t="shared" si="2"/>
        <v>129.6</v>
      </c>
      <c r="H15" s="20">
        <f t="shared" si="3"/>
        <v>1555.1999999999998</v>
      </c>
    </row>
    <row r="16" spans="1:8" ht="24" customHeight="1">
      <c r="A16" s="12">
        <v>7</v>
      </c>
      <c r="B16" s="19" t="s">
        <v>21</v>
      </c>
      <c r="C16" s="20">
        <f>Tempo!P18</f>
        <v>1.6543666666666665</v>
      </c>
      <c r="D16" s="35">
        <f t="shared" si="0"/>
        <v>12</v>
      </c>
      <c r="E16" s="12">
        <v>40</v>
      </c>
      <c r="F16" s="35">
        <f t="shared" si="1"/>
        <v>480</v>
      </c>
      <c r="G16" s="20">
        <f t="shared" si="2"/>
        <v>144</v>
      </c>
      <c r="H16" s="20">
        <f t="shared" si="3"/>
        <v>1728</v>
      </c>
    </row>
    <row r="17" spans="1:8" ht="24" customHeight="1">
      <c r="A17" s="12">
        <v>8</v>
      </c>
      <c r="B17" s="19" t="s">
        <v>22</v>
      </c>
      <c r="C17" s="20">
        <f>Tempo!P19</f>
        <v>0.6433333333333333</v>
      </c>
      <c r="D17" s="35">
        <f t="shared" si="0"/>
        <v>14</v>
      </c>
      <c r="E17" s="12">
        <v>32</v>
      </c>
      <c r="F17" s="35">
        <f t="shared" si="1"/>
        <v>448</v>
      </c>
      <c r="G17" s="20">
        <f t="shared" si="2"/>
        <v>134.4</v>
      </c>
      <c r="H17" s="20">
        <f t="shared" si="3"/>
        <v>1612.8000000000002</v>
      </c>
    </row>
    <row r="18" spans="1:8" ht="24" customHeight="1">
      <c r="A18" s="12">
        <v>9</v>
      </c>
      <c r="B18" s="19" t="s">
        <v>40</v>
      </c>
      <c r="C18" s="36" t="s">
        <v>41</v>
      </c>
      <c r="D18" s="36"/>
      <c r="E18" s="36"/>
      <c r="F18" s="36"/>
      <c r="G18" s="36"/>
      <c r="H18" s="36"/>
    </row>
    <row r="19" spans="1:8" ht="24" customHeight="1">
      <c r="A19" s="12">
        <v>10</v>
      </c>
      <c r="B19" s="19" t="s">
        <v>25</v>
      </c>
      <c r="C19" s="20">
        <f>Tempo!P21</f>
        <v>2.1816666666666666</v>
      </c>
      <c r="D19" s="35">
        <f aca="true" t="shared" si="4" ref="D19:D27">ROUNDDOWN(2*(8-C19),0)</f>
        <v>11</v>
      </c>
      <c r="E19" s="12">
        <v>20</v>
      </c>
      <c r="F19" s="35">
        <f aca="true" t="shared" si="5" ref="F19:F27">D19*E19</f>
        <v>220</v>
      </c>
      <c r="G19" s="20">
        <f aca="true" t="shared" si="6" ref="G19:G27">F19*0.3</f>
        <v>66</v>
      </c>
      <c r="H19" s="20">
        <f aca="true" t="shared" si="7" ref="H19:H27">G19*12</f>
        <v>792</v>
      </c>
    </row>
    <row r="20" spans="1:8" ht="24" customHeight="1">
      <c r="A20" s="12">
        <v>11</v>
      </c>
      <c r="B20" s="19" t="s">
        <v>26</v>
      </c>
      <c r="C20" s="20">
        <f>Tempo!P22</f>
        <v>3.305333333333333</v>
      </c>
      <c r="D20" s="35">
        <f t="shared" si="4"/>
        <v>9</v>
      </c>
      <c r="E20" s="12">
        <v>24</v>
      </c>
      <c r="F20" s="35">
        <f t="shared" si="5"/>
        <v>216</v>
      </c>
      <c r="G20" s="20">
        <f t="shared" si="6"/>
        <v>64.8</v>
      </c>
      <c r="H20" s="20">
        <f t="shared" si="7"/>
        <v>777.5999999999999</v>
      </c>
    </row>
    <row r="21" spans="1:8" ht="24" customHeight="1">
      <c r="A21" s="12">
        <v>12</v>
      </c>
      <c r="B21" s="19" t="s">
        <v>27</v>
      </c>
      <c r="C21" s="20">
        <f>Tempo!P23</f>
        <v>1.1636666666666666</v>
      </c>
      <c r="D21" s="35">
        <f t="shared" si="4"/>
        <v>13</v>
      </c>
      <c r="E21" s="12">
        <v>2</v>
      </c>
      <c r="F21" s="35">
        <f t="shared" si="5"/>
        <v>26</v>
      </c>
      <c r="G21" s="20">
        <f t="shared" si="6"/>
        <v>7.8</v>
      </c>
      <c r="H21" s="20">
        <f t="shared" si="7"/>
        <v>93.6</v>
      </c>
    </row>
    <row r="22" spans="1:8" ht="24" customHeight="1">
      <c r="A22" s="12">
        <v>13</v>
      </c>
      <c r="B22" s="19" t="s">
        <v>28</v>
      </c>
      <c r="C22" s="20">
        <f>Tempo!P24</f>
        <v>2.1416666666666666</v>
      </c>
      <c r="D22" s="35">
        <f t="shared" si="4"/>
        <v>11</v>
      </c>
      <c r="E22" s="12">
        <v>2</v>
      </c>
      <c r="F22" s="35">
        <f t="shared" si="5"/>
        <v>22</v>
      </c>
      <c r="G22" s="20">
        <f t="shared" si="6"/>
        <v>6.6</v>
      </c>
      <c r="H22" s="20">
        <f t="shared" si="7"/>
        <v>79.19999999999999</v>
      </c>
    </row>
    <row r="23" spans="1:8" ht="24" customHeight="1">
      <c r="A23" s="12">
        <v>14</v>
      </c>
      <c r="B23" s="19" t="s">
        <v>29</v>
      </c>
      <c r="C23" s="20">
        <f>Tempo!P25</f>
        <v>0.8108333333333333</v>
      </c>
      <c r="D23" s="35">
        <f t="shared" si="4"/>
        <v>14</v>
      </c>
      <c r="E23" s="12">
        <v>2</v>
      </c>
      <c r="F23" s="35">
        <f t="shared" si="5"/>
        <v>28</v>
      </c>
      <c r="G23" s="20">
        <f t="shared" si="6"/>
        <v>8.4</v>
      </c>
      <c r="H23" s="20">
        <f t="shared" si="7"/>
        <v>100.80000000000001</v>
      </c>
    </row>
    <row r="24" spans="1:8" ht="24" customHeight="1">
      <c r="A24" s="12">
        <v>15</v>
      </c>
      <c r="B24" s="19" t="s">
        <v>30</v>
      </c>
      <c r="C24" s="20">
        <f>Tempo!P26</f>
        <v>0.5566666666666666</v>
      </c>
      <c r="D24" s="35">
        <f t="shared" si="4"/>
        <v>14</v>
      </c>
      <c r="E24" s="12">
        <f>24/12</f>
        <v>2</v>
      </c>
      <c r="F24" s="35">
        <f t="shared" si="5"/>
        <v>28</v>
      </c>
      <c r="G24" s="20">
        <f t="shared" si="6"/>
        <v>8.4</v>
      </c>
      <c r="H24" s="20">
        <f t="shared" si="7"/>
        <v>100.80000000000001</v>
      </c>
    </row>
    <row r="25" spans="1:8" ht="24" customHeight="1">
      <c r="A25" s="12">
        <v>16</v>
      </c>
      <c r="B25" s="19" t="s">
        <v>31</v>
      </c>
      <c r="C25" s="20">
        <f>Tempo!P27</f>
        <v>1.1191666666666666</v>
      </c>
      <c r="D25" s="35">
        <f t="shared" si="4"/>
        <v>13</v>
      </c>
      <c r="E25" s="12">
        <v>6</v>
      </c>
      <c r="F25" s="35">
        <f t="shared" si="5"/>
        <v>78</v>
      </c>
      <c r="G25" s="20">
        <f t="shared" si="6"/>
        <v>23.4</v>
      </c>
      <c r="H25" s="20">
        <f t="shared" si="7"/>
        <v>280.79999999999995</v>
      </c>
    </row>
    <row r="26" spans="1:8" ht="24" customHeight="1">
      <c r="A26" s="12">
        <v>17</v>
      </c>
      <c r="B26" s="19" t="s">
        <v>32</v>
      </c>
      <c r="C26" s="20">
        <f>Tempo!P28</f>
        <v>0.9066666666666665</v>
      </c>
      <c r="D26" s="35">
        <f t="shared" si="4"/>
        <v>14</v>
      </c>
      <c r="E26" s="12">
        <v>6</v>
      </c>
      <c r="F26" s="35">
        <f t="shared" si="5"/>
        <v>84</v>
      </c>
      <c r="G26" s="20">
        <f t="shared" si="6"/>
        <v>25.2</v>
      </c>
      <c r="H26" s="20">
        <f t="shared" si="7"/>
        <v>302.4</v>
      </c>
    </row>
    <row r="27" spans="1:8" ht="24" customHeight="1">
      <c r="A27" s="12">
        <v>18</v>
      </c>
      <c r="B27" s="19" t="s">
        <v>33</v>
      </c>
      <c r="C27" s="20">
        <f>Tempo!P29</f>
        <v>0.9733333333333334</v>
      </c>
      <c r="D27" s="35">
        <f t="shared" si="4"/>
        <v>14</v>
      </c>
      <c r="E27" s="12">
        <v>1</v>
      </c>
      <c r="F27" s="35">
        <f t="shared" si="5"/>
        <v>14</v>
      </c>
      <c r="G27" s="20">
        <f t="shared" si="6"/>
        <v>4.2</v>
      </c>
      <c r="H27" s="20">
        <f t="shared" si="7"/>
        <v>50.400000000000006</v>
      </c>
    </row>
    <row r="28" spans="1:8" ht="24" customHeight="1">
      <c r="A28" s="22"/>
      <c r="B28" s="23" t="s">
        <v>42</v>
      </c>
      <c r="C28" s="25">
        <f>SUM(C10:C27)</f>
        <v>22.852533333333334</v>
      </c>
      <c r="D28" s="25"/>
      <c r="E28" s="24">
        <f>SUM(E10:E27)</f>
        <v>247</v>
      </c>
      <c r="F28" s="24">
        <f>SUM(F10:F27)</f>
        <v>3034</v>
      </c>
      <c r="G28" s="25">
        <f>SUM(G10:G27)</f>
        <v>910.1999999999999</v>
      </c>
      <c r="H28" s="25">
        <f>SUM(H10:H27)</f>
        <v>10922.4</v>
      </c>
    </row>
    <row r="29" ht="24" customHeight="1"/>
    <row r="30" spans="1:8" ht="24" customHeight="1">
      <c r="A30" s="26" t="s">
        <v>51</v>
      </c>
      <c r="B30" s="27"/>
      <c r="C30" s="29"/>
      <c r="D30" s="29"/>
      <c r="E30" s="28"/>
      <c r="F30" s="29"/>
      <c r="G30" s="25">
        <f>G28</f>
        <v>910.1999999999999</v>
      </c>
      <c r="H30" s="25">
        <f>H28</f>
        <v>10922.4</v>
      </c>
    </row>
    <row r="31" spans="1:8" ht="24" customHeight="1">
      <c r="A31" s="37" t="s">
        <v>52</v>
      </c>
      <c r="B31" s="32"/>
      <c r="C31" s="34"/>
      <c r="D31" s="34"/>
      <c r="E31" s="33"/>
      <c r="F31" s="34"/>
      <c r="G31" s="25"/>
      <c r="H31" s="25"/>
    </row>
    <row r="32" ht="16.5">
      <c r="A32" s="38"/>
    </row>
  </sheetData>
  <sheetProtection selectLockedCells="1" selectUnlockedCells="1"/>
  <mergeCells count="5">
    <mergeCell ref="A7:H7"/>
    <mergeCell ref="A9:B9"/>
    <mergeCell ref="C18:H18"/>
    <mergeCell ref="G30:G31"/>
    <mergeCell ref="H30:H3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16"/>
  <sheetViews>
    <sheetView tabSelected="1" workbookViewId="0" topLeftCell="A1">
      <selection activeCell="O9" sqref="O9"/>
    </sheetView>
  </sheetViews>
  <sheetFormatPr defaultColWidth="9.140625" defaultRowHeight="15"/>
  <cols>
    <col min="1" max="1" width="5.57421875" style="39" customWidth="1"/>
    <col min="2" max="2" width="9.140625" style="39" customWidth="1"/>
    <col min="3" max="3" width="14.421875" style="39" customWidth="1"/>
    <col min="4" max="4" width="21.7109375" style="39" customWidth="1"/>
    <col min="5" max="5" width="9.140625" style="39" customWidth="1"/>
    <col min="6" max="6" width="13.140625" style="39" customWidth="1"/>
    <col min="7" max="7" width="17.140625" style="39" customWidth="1"/>
    <col min="8" max="8" width="20.28125" style="39" customWidth="1"/>
    <col min="9" max="16384" width="9.140625" style="39" customWidth="1"/>
  </cols>
  <sheetData>
    <row r="1" ht="22.5" customHeight="1"/>
    <row r="2" ht="22.5" customHeight="1"/>
    <row r="3" ht="22.5" customHeight="1"/>
    <row r="4" ht="22.5" customHeight="1"/>
    <row r="5" spans="2:12" ht="18.75">
      <c r="B5" s="40" t="s">
        <v>53</v>
      </c>
      <c r="L5" s="39" t="s">
        <v>54</v>
      </c>
    </row>
    <row r="7" spans="2:8" s="41" customFormat="1" ht="32.25" customHeight="1">
      <c r="B7" s="42" t="s">
        <v>55</v>
      </c>
      <c r="C7" s="42" t="s">
        <v>56</v>
      </c>
      <c r="D7" s="42" t="s">
        <v>57</v>
      </c>
      <c r="E7" s="42" t="s">
        <v>58</v>
      </c>
      <c r="F7" s="42" t="s">
        <v>59</v>
      </c>
      <c r="G7" s="42" t="s">
        <v>60</v>
      </c>
      <c r="H7" s="42" t="s">
        <v>61</v>
      </c>
    </row>
    <row r="8" spans="2:8" ht="90" customHeight="1">
      <c r="B8" s="43">
        <v>1</v>
      </c>
      <c r="C8" s="44" t="s">
        <v>62</v>
      </c>
      <c r="D8" s="45" t="s">
        <v>63</v>
      </c>
      <c r="E8" s="43" t="s">
        <v>64</v>
      </c>
      <c r="F8" s="46">
        <f>TRUNC('Custo Produtivo'!F30,2)</f>
        <v>4699.58</v>
      </c>
      <c r="G8" s="47">
        <v>217.52</v>
      </c>
      <c r="H8" s="47">
        <f aca="true" t="shared" si="0" ref="H8:H9">TRUNC(F8*G8)</f>
        <v>1022252</v>
      </c>
    </row>
    <row r="9" spans="2:8" ht="90" customHeight="1">
      <c r="B9" s="43">
        <v>2</v>
      </c>
      <c r="C9" s="44" t="s">
        <v>65</v>
      </c>
      <c r="D9" s="45" t="s">
        <v>63</v>
      </c>
      <c r="E9" s="43" t="s">
        <v>64</v>
      </c>
      <c r="F9" s="46">
        <f>'Custo Funcionando'!H30</f>
        <v>10922.4</v>
      </c>
      <c r="G9" s="47">
        <v>80.57</v>
      </c>
      <c r="H9" s="47">
        <f t="shared" si="0"/>
        <v>880017</v>
      </c>
    </row>
    <row r="10" spans="7:8" ht="33.75" customHeight="1">
      <c r="G10" s="48" t="s">
        <v>66</v>
      </c>
      <c r="H10" s="49">
        <f>SUM(H8:H9)</f>
        <v>1902269</v>
      </c>
    </row>
    <row r="11" spans="7:8" ht="33.75" customHeight="1">
      <c r="G11" s="48" t="s">
        <v>67</v>
      </c>
      <c r="H11" s="49">
        <f>H10*0.1</f>
        <v>190226.90000000002</v>
      </c>
    </row>
    <row r="12" spans="7:8" ht="33.75" customHeight="1">
      <c r="G12" s="50" t="s">
        <v>68</v>
      </c>
      <c r="H12" s="51">
        <f>H10+H11</f>
        <v>2092495.9</v>
      </c>
    </row>
    <row r="16" ht="15">
      <c r="H16" s="39" t="s">
        <v>54</v>
      </c>
    </row>
  </sheetData>
  <sheetProtection selectLockedCells="1" selectUnlockedCells="1"/>
  <printOptions/>
  <pageMargins left="0.5118055555555556" right="0.31527777777777777" top="0.7875" bottom="0.7875" header="0.5118110236220472" footer="0.5118110236220472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46"/>
  <sheetViews>
    <sheetView workbookViewId="0" topLeftCell="A12">
      <selection activeCell="A13" sqref="A13"/>
    </sheetView>
  </sheetViews>
  <sheetFormatPr defaultColWidth="9.140625" defaultRowHeight="15"/>
  <cols>
    <col min="1" max="1" width="3.8515625" style="52" customWidth="1"/>
    <col min="2" max="2" width="28.8515625" style="52" customWidth="1"/>
    <col min="3" max="3" width="18.28125" style="52" customWidth="1"/>
    <col min="4" max="5" width="18.57421875" style="52" customWidth="1"/>
    <col min="6" max="6" width="19.421875" style="52" customWidth="1"/>
    <col min="7" max="8" width="9.140625" style="52" customWidth="1"/>
    <col min="9" max="9" width="14.421875" style="52" customWidth="1"/>
    <col min="10" max="16384" width="9.140625" style="52" customWidth="1"/>
  </cols>
  <sheetData>
    <row r="4" ht="19.5" customHeight="1">
      <c r="B4" s="53"/>
    </row>
    <row r="10" spans="1:4" ht="18.75">
      <c r="A10" s="54"/>
      <c r="B10" s="55" t="s">
        <v>69</v>
      </c>
      <c r="C10" s="54"/>
      <c r="D10" s="54"/>
    </row>
    <row r="11" spans="1:4" ht="12.75">
      <c r="A11" s="54"/>
      <c r="B11" s="54"/>
      <c r="C11" s="54"/>
      <c r="D11" s="54"/>
    </row>
    <row r="12" spans="1:4" ht="12.75">
      <c r="A12" s="54"/>
      <c r="B12" s="54"/>
      <c r="C12" s="54"/>
      <c r="D12" s="54"/>
    </row>
    <row r="13" spans="1:5" ht="35.25" customHeight="1">
      <c r="A13" s="56" t="s">
        <v>70</v>
      </c>
      <c r="B13" s="57"/>
      <c r="C13" s="58" t="s">
        <v>71</v>
      </c>
      <c r="D13" s="59" t="s">
        <v>72</v>
      </c>
      <c r="E13" s="60"/>
    </row>
    <row r="14" spans="1:4" ht="12.75">
      <c r="A14" s="61"/>
      <c r="B14" s="62">
        <v>30</v>
      </c>
      <c r="C14" s="63"/>
      <c r="D14" s="64"/>
    </row>
    <row r="15" spans="1:5" ht="24.75" customHeight="1">
      <c r="A15" s="65" t="s">
        <v>73</v>
      </c>
      <c r="B15" s="66" t="s">
        <v>74</v>
      </c>
      <c r="C15" s="67">
        <v>0.0833</v>
      </c>
      <c r="D15" s="68">
        <f>ROUND(Planilha!$H$12*'cron desemb'!C15,2)</f>
        <v>174304.91</v>
      </c>
      <c r="E15" s="69"/>
    </row>
    <row r="16" spans="1:5" ht="12.75" customHeight="1">
      <c r="A16" s="70"/>
      <c r="B16" s="62">
        <f>B14+30</f>
        <v>60</v>
      </c>
      <c r="C16" s="63"/>
      <c r="D16" s="64"/>
      <c r="E16" s="71"/>
    </row>
    <row r="17" spans="1:5" ht="24.75" customHeight="1">
      <c r="A17" s="65" t="s">
        <v>75</v>
      </c>
      <c r="B17" s="66" t="s">
        <v>74</v>
      </c>
      <c r="C17" s="67">
        <v>0.0833</v>
      </c>
      <c r="D17" s="68">
        <f>ROUND(Planilha!$H$12*'cron desemb'!C17,2)</f>
        <v>174304.91</v>
      </c>
      <c r="E17" s="69"/>
    </row>
    <row r="18" spans="1:5" ht="12.75" customHeight="1">
      <c r="A18" s="70"/>
      <c r="B18" s="62">
        <f>B16+30</f>
        <v>90</v>
      </c>
      <c r="C18" s="63"/>
      <c r="D18" s="64"/>
      <c r="E18" s="71"/>
    </row>
    <row r="19" spans="1:5" ht="24.75" customHeight="1">
      <c r="A19" s="65" t="s">
        <v>76</v>
      </c>
      <c r="B19" s="66" t="s">
        <v>74</v>
      </c>
      <c r="C19" s="67">
        <v>0.0833</v>
      </c>
      <c r="D19" s="68">
        <f>ROUND(Planilha!$H$12*'cron desemb'!C19,2)</f>
        <v>174304.91</v>
      </c>
      <c r="E19" s="69"/>
    </row>
    <row r="20" spans="1:5" ht="15" customHeight="1">
      <c r="A20" s="70"/>
      <c r="B20" s="62">
        <f>B18+30</f>
        <v>120</v>
      </c>
      <c r="C20" s="63"/>
      <c r="D20" s="64"/>
      <c r="E20" s="71"/>
    </row>
    <row r="21" spans="1:5" ht="24.75" customHeight="1">
      <c r="A21" s="65" t="s">
        <v>77</v>
      </c>
      <c r="B21" s="66" t="s">
        <v>74</v>
      </c>
      <c r="C21" s="67">
        <v>0.0833</v>
      </c>
      <c r="D21" s="68">
        <f>ROUND(Planilha!$H$12*'cron desemb'!C21,2)</f>
        <v>174304.91</v>
      </c>
      <c r="E21" s="69"/>
    </row>
    <row r="22" spans="1:5" ht="15" customHeight="1">
      <c r="A22" s="72"/>
      <c r="B22" s="62">
        <f>B20+30</f>
        <v>150</v>
      </c>
      <c r="C22" s="63"/>
      <c r="D22" s="64"/>
      <c r="E22" s="71"/>
    </row>
    <row r="23" spans="1:5" ht="24.75" customHeight="1">
      <c r="A23" s="72" t="s">
        <v>78</v>
      </c>
      <c r="B23" s="73" t="s">
        <v>74</v>
      </c>
      <c r="C23" s="67">
        <v>0.0833</v>
      </c>
      <c r="D23" s="68">
        <f>ROUND(Planilha!$H$12*'cron desemb'!C23,2)</f>
        <v>174304.91</v>
      </c>
      <c r="E23" s="69"/>
    </row>
    <row r="24" spans="1:5" ht="13.5" customHeight="1">
      <c r="A24" s="70"/>
      <c r="B24" s="62">
        <f>B22+30</f>
        <v>180</v>
      </c>
      <c r="C24" s="63"/>
      <c r="D24" s="64"/>
      <c r="E24" s="71"/>
    </row>
    <row r="25" spans="1:5" ht="24.75" customHeight="1">
      <c r="A25" s="65" t="s">
        <v>79</v>
      </c>
      <c r="B25" s="66" t="s">
        <v>74</v>
      </c>
      <c r="C25" s="67">
        <v>0.0833</v>
      </c>
      <c r="D25" s="68">
        <f>ROUND(Planilha!$H$12*'cron desemb'!C25,2)</f>
        <v>174304.91</v>
      </c>
      <c r="E25" s="69"/>
    </row>
    <row r="26" spans="1:5" ht="14.25" customHeight="1">
      <c r="A26" s="70"/>
      <c r="B26" s="62">
        <f>B24+30</f>
        <v>210</v>
      </c>
      <c r="C26" s="63"/>
      <c r="D26" s="64"/>
      <c r="E26" s="71"/>
    </row>
    <row r="27" spans="1:5" ht="24.75" customHeight="1">
      <c r="A27" s="65" t="s">
        <v>80</v>
      </c>
      <c r="B27" s="66" t="s">
        <v>74</v>
      </c>
      <c r="C27" s="67">
        <v>0.0833</v>
      </c>
      <c r="D27" s="68">
        <f>ROUND(Planilha!$H$12*'cron desemb'!C27,2)</f>
        <v>174304.91</v>
      </c>
      <c r="E27" s="69"/>
    </row>
    <row r="28" spans="1:5" ht="15" customHeight="1">
      <c r="A28" s="70"/>
      <c r="B28" s="62">
        <f>B26+30</f>
        <v>240</v>
      </c>
      <c r="C28" s="63"/>
      <c r="D28" s="64"/>
      <c r="E28" s="71"/>
    </row>
    <row r="29" spans="1:5" ht="24.75" customHeight="1">
      <c r="A29" s="65" t="s">
        <v>81</v>
      </c>
      <c r="B29" s="66" t="s">
        <v>74</v>
      </c>
      <c r="C29" s="67">
        <v>0.0833</v>
      </c>
      <c r="D29" s="68">
        <f>ROUND(Planilha!$H$12*'cron desemb'!C29,2)</f>
        <v>174304.91</v>
      </c>
      <c r="E29" s="69"/>
    </row>
    <row r="30" spans="1:5" ht="15" customHeight="1">
      <c r="A30" s="70"/>
      <c r="B30" s="62">
        <f>B28+30</f>
        <v>270</v>
      </c>
      <c r="C30" s="63"/>
      <c r="D30" s="64"/>
      <c r="E30" s="71"/>
    </row>
    <row r="31" spans="1:5" ht="24.75" customHeight="1">
      <c r="A31" s="65">
        <v>9</v>
      </c>
      <c r="B31" s="66" t="s">
        <v>74</v>
      </c>
      <c r="C31" s="67">
        <v>0.0834</v>
      </c>
      <c r="D31" s="68">
        <f>ROUND(Planilha!$H$12*'cron desemb'!C31,2)</f>
        <v>174514.16</v>
      </c>
      <c r="E31" s="69"/>
    </row>
    <row r="32" spans="1:5" ht="15" customHeight="1">
      <c r="A32" s="70"/>
      <c r="B32" s="62">
        <f>B30+30</f>
        <v>300</v>
      </c>
      <c r="C32" s="63"/>
      <c r="D32" s="64"/>
      <c r="E32" s="71"/>
    </row>
    <row r="33" spans="1:5" ht="24.75" customHeight="1">
      <c r="A33" s="65" t="s">
        <v>82</v>
      </c>
      <c r="B33" s="66" t="s">
        <v>74</v>
      </c>
      <c r="C33" s="67">
        <v>0.0834</v>
      </c>
      <c r="D33" s="68">
        <f>ROUND(Planilha!$H$12*'cron desemb'!C33,2)</f>
        <v>174514.16</v>
      </c>
      <c r="E33" s="69"/>
    </row>
    <row r="34" spans="1:5" ht="15" customHeight="1">
      <c r="A34" s="70"/>
      <c r="B34" s="62">
        <f>B32+30</f>
        <v>330</v>
      </c>
      <c r="C34" s="74"/>
      <c r="D34" s="64"/>
      <c r="E34" s="71"/>
    </row>
    <row r="35" spans="1:5" ht="24.75" customHeight="1">
      <c r="A35" s="65" t="s">
        <v>83</v>
      </c>
      <c r="B35" s="66" t="s">
        <v>74</v>
      </c>
      <c r="C35" s="67">
        <v>0.0834</v>
      </c>
      <c r="D35" s="68">
        <f>ROUND(Planilha!$H$12*'cron desemb'!C35,2)</f>
        <v>174514.16</v>
      </c>
      <c r="E35" s="69"/>
    </row>
    <row r="36" spans="1:5" ht="15" customHeight="1">
      <c r="A36" s="70"/>
      <c r="B36" s="62">
        <f>B34+30</f>
        <v>360</v>
      </c>
      <c r="C36" s="74"/>
      <c r="D36" s="64"/>
      <c r="E36" s="71"/>
    </row>
    <row r="37" spans="1:5" ht="24.75" customHeight="1">
      <c r="A37" s="65" t="s">
        <v>84</v>
      </c>
      <c r="B37" s="66" t="s">
        <v>74</v>
      </c>
      <c r="C37" s="67">
        <v>0.08339999</v>
      </c>
      <c r="D37" s="68">
        <f>ROUND(Planilha!$H$12*'cron desemb'!C37,2)</f>
        <v>174514.14</v>
      </c>
      <c r="E37" s="69"/>
    </row>
    <row r="38" spans="1:9" ht="7.5" customHeight="1">
      <c r="A38" s="75"/>
      <c r="B38" s="76"/>
      <c r="C38" s="77"/>
      <c r="D38" s="78"/>
      <c r="E38" s="71"/>
      <c r="I38" s="79"/>
    </row>
    <row r="39" spans="1:5" ht="21.75" customHeight="1">
      <c r="A39" s="80"/>
      <c r="B39" s="81" t="s">
        <v>42</v>
      </c>
      <c r="C39" s="82">
        <f>SUM(C14:C38)</f>
        <v>0.99999999</v>
      </c>
      <c r="D39" s="83">
        <f>SUM(D14:D38)</f>
        <v>2092495.9000000001</v>
      </c>
      <c r="E39" s="69"/>
    </row>
    <row r="40" ht="12.75">
      <c r="D40" s="84"/>
    </row>
    <row r="41" ht="12.75">
      <c r="D41" s="84"/>
    </row>
    <row r="42" ht="12.75">
      <c r="D42" s="84"/>
    </row>
    <row r="43" ht="12.75">
      <c r="D43" s="84"/>
    </row>
    <row r="44" ht="12.75">
      <c r="D44" s="84"/>
    </row>
    <row r="45" ht="12.75">
      <c r="D45" s="84"/>
    </row>
    <row r="46" ht="12.75">
      <c r="D46" s="84"/>
    </row>
  </sheetData>
  <sheetProtection selectLockedCells="1" selectUnlockedCells="1"/>
  <printOptions/>
  <pageMargins left="0.6798611111111111" right="0.22013888888888888" top="0.5298611111111111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8:N48"/>
  <sheetViews>
    <sheetView workbookViewId="0" topLeftCell="A1">
      <selection activeCell="A1" sqref="A1"/>
    </sheetView>
  </sheetViews>
  <sheetFormatPr defaultColWidth="9.140625" defaultRowHeight="15"/>
  <cols>
    <col min="1" max="1" width="9.7109375" style="85" customWidth="1"/>
    <col min="2" max="2" width="8.8515625" style="85" customWidth="1"/>
    <col min="3" max="3" width="36.57421875" style="85" customWidth="1"/>
    <col min="4" max="4" width="11.421875" style="85" customWidth="1"/>
    <col min="5" max="5" width="8.8515625" style="85" customWidth="1"/>
    <col min="6" max="6" width="0.2890625" style="85" customWidth="1"/>
    <col min="7" max="7" width="0.13671875" style="85" customWidth="1"/>
    <col min="8" max="8" width="38.28125" style="85" hidden="1" customWidth="1"/>
    <col min="9" max="9" width="8.00390625" style="85" hidden="1" customWidth="1"/>
    <col min="10" max="11" width="8.8515625" style="85" hidden="1" customWidth="1"/>
    <col min="12" max="12" width="1.7109375" style="85" hidden="1" customWidth="1"/>
    <col min="13" max="14" width="8.8515625" style="85" hidden="1" customWidth="1"/>
    <col min="15" max="16384" width="8.8515625" style="85" customWidth="1"/>
  </cols>
  <sheetData>
    <row r="1" ht="15"/>
    <row r="2" ht="15"/>
    <row r="3" ht="15"/>
    <row r="4" ht="15"/>
    <row r="7" ht="15.75"/>
    <row r="8" spans="1:14" ht="11.25" customHeight="1">
      <c r="A8" s="86" t="s">
        <v>85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8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ht="21" customHeight="1"/>
    <row r="11" spans="2:13" ht="15.75" customHeight="1">
      <c r="B11" s="87" t="s">
        <v>86</v>
      </c>
      <c r="C11" s="87"/>
      <c r="D11" s="87"/>
      <c r="L11" s="88"/>
      <c r="M11" s="89"/>
    </row>
    <row r="12" ht="3" customHeight="1"/>
    <row r="13" spans="1:13" ht="15">
      <c r="A13" s="90"/>
      <c r="B13" s="91" t="s">
        <v>87</v>
      </c>
      <c r="C13" s="92" t="s">
        <v>88</v>
      </c>
      <c r="D13" s="93" t="s">
        <v>89</v>
      </c>
      <c r="E13" s="94"/>
      <c r="F13" s="95"/>
      <c r="L13" s="96"/>
      <c r="M13" s="97"/>
    </row>
    <row r="14" spans="1:13" ht="15.75">
      <c r="A14" s="90"/>
      <c r="B14" s="91"/>
      <c r="C14" s="92"/>
      <c r="D14" s="93"/>
      <c r="E14" s="94"/>
      <c r="F14" s="95"/>
      <c r="M14" s="98"/>
    </row>
    <row r="15" spans="1:13" ht="15">
      <c r="A15" s="90"/>
      <c r="B15" s="99"/>
      <c r="C15" s="100"/>
      <c r="D15" s="101"/>
      <c r="E15" s="94"/>
      <c r="F15" s="95"/>
      <c r="M15" s="98"/>
    </row>
    <row r="16" spans="1:13" ht="15">
      <c r="A16" s="90"/>
      <c r="B16" s="102">
        <v>1</v>
      </c>
      <c r="C16" s="103" t="s">
        <v>90</v>
      </c>
      <c r="D16" s="104">
        <f>SUM(D17:D19)</f>
        <v>0.2</v>
      </c>
      <c r="E16" s="105"/>
      <c r="F16" s="106"/>
      <c r="M16" s="98"/>
    </row>
    <row r="17" spans="1:13" ht="15">
      <c r="A17" s="90"/>
      <c r="B17" s="107" t="s">
        <v>91</v>
      </c>
      <c r="C17" s="108" t="s">
        <v>92</v>
      </c>
      <c r="D17" s="109">
        <v>0.2</v>
      </c>
      <c r="E17" s="110"/>
      <c r="F17" s="90"/>
      <c r="M17" s="98"/>
    </row>
    <row r="18" spans="1:13" ht="15">
      <c r="A18" s="90"/>
      <c r="B18" s="107" t="s">
        <v>93</v>
      </c>
      <c r="C18" s="108" t="s">
        <v>94</v>
      </c>
      <c r="D18" s="109" t="s">
        <v>54</v>
      </c>
      <c r="E18" s="110"/>
      <c r="F18" s="90"/>
      <c r="M18" s="98"/>
    </row>
    <row r="19" spans="1:13" ht="15">
      <c r="A19" s="90"/>
      <c r="B19" s="107" t="s">
        <v>95</v>
      </c>
      <c r="C19" s="108" t="s">
        <v>96</v>
      </c>
      <c r="D19" s="109"/>
      <c r="E19" s="110"/>
      <c r="F19" s="90"/>
      <c r="M19" s="98"/>
    </row>
    <row r="20" spans="1:13" ht="15">
      <c r="A20" s="90"/>
      <c r="B20" s="111" t="s">
        <v>54</v>
      </c>
      <c r="C20" s="108" t="s">
        <v>54</v>
      </c>
      <c r="D20" s="109" t="s">
        <v>54</v>
      </c>
      <c r="E20" s="110"/>
      <c r="F20" s="90"/>
      <c r="M20" s="98"/>
    </row>
    <row r="21" spans="1:13" ht="15">
      <c r="A21" s="90"/>
      <c r="B21" s="102">
        <v>2</v>
      </c>
      <c r="C21" s="103" t="s">
        <v>97</v>
      </c>
      <c r="D21" s="112">
        <f>ROUND(SUM(D22:D24),2)</f>
        <v>5.65</v>
      </c>
      <c r="E21" s="110"/>
      <c r="F21" s="106"/>
      <c r="M21" s="98"/>
    </row>
    <row r="22" spans="1:13" ht="15">
      <c r="A22" s="90"/>
      <c r="B22" s="107" t="s">
        <v>98</v>
      </c>
      <c r="C22" s="113" t="s">
        <v>99</v>
      </c>
      <c r="D22" s="109">
        <v>2</v>
      </c>
      <c r="E22" s="110"/>
      <c r="F22" s="90"/>
      <c r="M22" s="98"/>
    </row>
    <row r="23" spans="1:13" ht="15.75">
      <c r="A23" s="90"/>
      <c r="B23" s="107" t="s">
        <v>100</v>
      </c>
      <c r="C23" s="108" t="s">
        <v>101</v>
      </c>
      <c r="D23" s="109">
        <v>0.65</v>
      </c>
      <c r="E23" s="110"/>
      <c r="F23" s="90"/>
      <c r="L23" s="114"/>
      <c r="M23" s="115"/>
    </row>
    <row r="24" spans="1:6" ht="15">
      <c r="A24" s="90"/>
      <c r="B24" s="107" t="s">
        <v>102</v>
      </c>
      <c r="C24" s="108" t="s">
        <v>103</v>
      </c>
      <c r="D24" s="109">
        <v>3</v>
      </c>
      <c r="E24" s="110"/>
      <c r="F24" s="116"/>
    </row>
    <row r="25" spans="1:6" ht="15">
      <c r="A25" s="90"/>
      <c r="B25" s="111"/>
      <c r="C25" s="108"/>
      <c r="D25" s="109"/>
      <c r="E25" s="110"/>
      <c r="F25" s="106"/>
    </row>
    <row r="26" spans="1:6" ht="15">
      <c r="A26" s="90"/>
      <c r="B26" s="102">
        <v>3</v>
      </c>
      <c r="C26" s="103" t="s">
        <v>104</v>
      </c>
      <c r="D26" s="112">
        <f>SUM(D27:D29)</f>
        <v>0.5</v>
      </c>
      <c r="E26" s="110"/>
      <c r="F26" s="106"/>
    </row>
    <row r="27" spans="1:6" ht="15">
      <c r="A27" s="90"/>
      <c r="B27" s="107" t="s">
        <v>105</v>
      </c>
      <c r="C27" s="108" t="s">
        <v>106</v>
      </c>
      <c r="D27" s="109">
        <v>0.1</v>
      </c>
      <c r="E27" s="110"/>
      <c r="F27" s="106"/>
    </row>
    <row r="28" spans="1:6" ht="15">
      <c r="A28" s="90"/>
      <c r="B28" s="107" t="s">
        <v>107</v>
      </c>
      <c r="C28" s="108" t="s">
        <v>108</v>
      </c>
      <c r="D28" s="109">
        <v>0.3</v>
      </c>
      <c r="E28" s="110"/>
      <c r="F28" s="106"/>
    </row>
    <row r="29" spans="1:6" ht="15">
      <c r="A29" s="90"/>
      <c r="B29" s="107" t="s">
        <v>107</v>
      </c>
      <c r="C29" s="108" t="s">
        <v>109</v>
      </c>
      <c r="D29" s="109">
        <v>0.1</v>
      </c>
      <c r="E29" s="110"/>
      <c r="F29" s="106"/>
    </row>
    <row r="30" spans="1:6" ht="15">
      <c r="A30" s="90"/>
      <c r="B30" s="111"/>
      <c r="C30" s="108"/>
      <c r="D30" s="109"/>
      <c r="E30" s="110"/>
      <c r="F30" s="106"/>
    </row>
    <row r="31" spans="1:6" ht="15">
      <c r="A31" s="90"/>
      <c r="B31" s="102">
        <v>4</v>
      </c>
      <c r="C31" s="103" t="s">
        <v>110</v>
      </c>
      <c r="D31" s="112">
        <v>0.1</v>
      </c>
      <c r="E31" s="110"/>
      <c r="F31" s="106"/>
    </row>
    <row r="32" spans="1:6" ht="15">
      <c r="A32" s="90"/>
      <c r="B32" s="111"/>
      <c r="C32" s="108"/>
      <c r="D32" s="109"/>
      <c r="E32" s="110"/>
      <c r="F32" s="106"/>
    </row>
    <row r="33" spans="1:6" ht="15">
      <c r="A33" s="90"/>
      <c r="B33" s="102">
        <v>5</v>
      </c>
      <c r="C33" s="103" t="s">
        <v>111</v>
      </c>
      <c r="D33" s="112">
        <v>3</v>
      </c>
      <c r="E33" s="110"/>
      <c r="F33" s="106"/>
    </row>
    <row r="34" spans="1:6" ht="15.75">
      <c r="A34" s="90"/>
      <c r="B34" s="111"/>
      <c r="C34" s="108"/>
      <c r="D34" s="117">
        <v>0.04</v>
      </c>
      <c r="E34" s="110"/>
      <c r="F34" s="90"/>
    </row>
    <row r="35" spans="1:6" ht="15">
      <c r="A35" s="90"/>
      <c r="B35" s="118" t="s">
        <v>54</v>
      </c>
      <c r="C35" s="119" t="s">
        <v>112</v>
      </c>
      <c r="D35" s="120">
        <f>ROUND((((1+(D16%+D27%+D28%+D29%))*(1+D31%)*(1+D33%)/(1-D21%))-(1))*100,2)-D34</f>
        <v>10</v>
      </c>
      <c r="E35" s="110"/>
      <c r="F35" s="106"/>
    </row>
    <row r="36" ht="24" customHeight="1"/>
    <row r="37" ht="6" customHeight="1"/>
    <row r="38" spans="2:4" ht="15">
      <c r="B38" s="121"/>
      <c r="C38" s="96"/>
      <c r="D38" s="97"/>
    </row>
    <row r="39" spans="2:4" ht="15">
      <c r="B39" s="122"/>
      <c r="D39" s="98"/>
    </row>
    <row r="40" spans="2:4" ht="15">
      <c r="B40" s="122"/>
      <c r="D40" s="98"/>
    </row>
    <row r="41" spans="2:4" ht="15">
      <c r="B41" s="122"/>
      <c r="D41" s="98"/>
    </row>
    <row r="42" spans="2:4" ht="11.25" customHeight="1">
      <c r="B42" s="123" t="s">
        <v>113</v>
      </c>
      <c r="C42" s="124"/>
      <c r="D42" s="125"/>
    </row>
    <row r="43" spans="2:4" ht="11.25" customHeight="1">
      <c r="B43" s="123" t="s">
        <v>114</v>
      </c>
      <c r="C43" s="124"/>
      <c r="D43" s="125"/>
    </row>
    <row r="44" spans="2:4" ht="11.25" customHeight="1">
      <c r="B44" s="123" t="s">
        <v>115</v>
      </c>
      <c r="C44" s="124"/>
      <c r="D44" s="125"/>
    </row>
    <row r="45" spans="2:4" ht="11.25" customHeight="1">
      <c r="B45" s="123" t="s">
        <v>116</v>
      </c>
      <c r="C45" s="124"/>
      <c r="D45" s="125"/>
    </row>
    <row r="46" spans="2:4" ht="11.25" customHeight="1">
      <c r="B46" s="123" t="s">
        <v>117</v>
      </c>
      <c r="C46" s="124"/>
      <c r="D46" s="125"/>
    </row>
    <row r="47" spans="2:4" ht="11.25" customHeight="1">
      <c r="B47" s="123" t="s">
        <v>118</v>
      </c>
      <c r="C47" s="124"/>
      <c r="D47" s="125"/>
    </row>
    <row r="48" spans="2:4" ht="11.25" customHeight="1">
      <c r="B48" s="126" t="s">
        <v>119</v>
      </c>
      <c r="C48" s="127"/>
      <c r="D48" s="128"/>
    </row>
  </sheetData>
  <sheetProtection selectLockedCells="1" selectUnlockedCells="1"/>
  <mergeCells count="5">
    <mergeCell ref="A8:N9"/>
    <mergeCell ref="B11:D11"/>
    <mergeCell ref="B13:B14"/>
    <mergeCell ref="C13:C14"/>
    <mergeCell ref="D13:D14"/>
  </mergeCells>
  <printOptions/>
  <pageMargins left="1.2993055555555557" right="0.5118055555555556" top="0.7875" bottom="0.7875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Mizrahi</dc:creator>
  <cp:keywords/>
  <dc:description/>
  <cp:lastModifiedBy/>
  <cp:lastPrinted>2023-01-30T12:44:52Z</cp:lastPrinted>
  <dcterms:created xsi:type="dcterms:W3CDTF">2022-04-01T22:55:09Z</dcterms:created>
  <dcterms:modified xsi:type="dcterms:W3CDTF">2023-01-30T12:48:11Z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