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LANILHA" sheetId="1" r:id="rId1"/>
    <sheet name="EXECUÇÃO" sheetId="2" r:id="rId2"/>
    <sheet name="FÍSICO-FINANCEIRO" sheetId="3" r:id="rId3"/>
    <sheet name="DESEMBOLSO" sheetId="4" r:id="rId4"/>
  </sheets>
  <definedNames>
    <definedName name="_xlnm.Print_Area" localSheetId="0">'PLANILHA'!$A$1:$G$214</definedName>
    <definedName name="_xlnm.Print_Titles" localSheetId="0">'PLANILHA'!$1:$13</definedName>
  </definedNames>
  <calcPr fullCalcOnLoad="1"/>
</workbook>
</file>

<file path=xl/sharedStrings.xml><?xml version="1.0" encoding="utf-8"?>
<sst xmlns="http://schemas.openxmlformats.org/spreadsheetml/2006/main" count="672" uniqueCount="471">
  <si>
    <t>ANEXO I/I</t>
  </si>
  <si>
    <t>CONSTRUÇÃO DE UMA RECREAÇÃO NA RIBEIRA COM CAMPO DE FUTEBOL SOCIETY, SANITÁRIOS E PLAYGROUND</t>
  </si>
  <si>
    <t xml:space="preserve">Mês/Ano referência : 09/2019 </t>
  </si>
  <si>
    <t>Item</t>
  </si>
  <si>
    <t>Código EMOP</t>
  </si>
  <si>
    <t>Descrição</t>
  </si>
  <si>
    <t>Unidade</t>
  </si>
  <si>
    <t>Quantidade</t>
  </si>
  <si>
    <t>$ Unitário</t>
  </si>
  <si>
    <t>$  Parcial</t>
  </si>
  <si>
    <t>1.0</t>
  </si>
  <si>
    <t>SERVIÇOS PRELIMINARES E DIVERSOS</t>
  </si>
  <si>
    <t>1.01</t>
  </si>
  <si>
    <t>02.020.0001-A</t>
  </si>
  <si>
    <t>PLACA DE IDENTIFICACAO DE OBRA PUBLICA, INCLUSIVE PINTURA E SUPORTES DE MADEIRA. FORNECIMENTO E COLOCACAO</t>
  </si>
  <si>
    <t>M2</t>
  </si>
  <si>
    <t>1.02</t>
  </si>
  <si>
    <t>02.002.0012-A</t>
  </si>
  <si>
    <t>TAPUME DE VEDACAO OU PROTECAO, EXECUTADO COM TELHAS TRAPEZOIDAIS DE ACO GALVANIZADO, ESPESSURA DE 0,5MM, ESTAS COM 2 VEZESDE UTILIZACAO, INCLUSIVE ENGRADAMENTO DE MADEIRA, UTILIZADO 2VEZES, EXCLUSIVE PINTURA</t>
  </si>
  <si>
    <t>1.03</t>
  </si>
  <si>
    <t>02.016.0001-A</t>
  </si>
  <si>
    <t>INSTALACAO E LIGACAO PROVISORIA DE ALIMENTACAO DE ENERGIA ELETRICA,EM BAIXA TENSAO,PARA CANTEIRO DE OBRAS,M3-CHAVE 100A,CARGA 3KW,20CV,EXCLUSIVE O FORNECIMENTO DO MEDIDOR</t>
  </si>
  <si>
    <t>UN</t>
  </si>
  <si>
    <t>1.04</t>
  </si>
  <si>
    <t>02.004.0010-A</t>
  </si>
  <si>
    <t>BARRACAO DE OBRA EM CHAPA DE COMPENSADO DE 6MM DE ESPESSURA,RESINADA,SIMPLES,REAPROVEITAMENTO DE 2 VEZES,PISO EM CIMENTADO,COBERTURA COM TELHAS DE FIBROCIMENTO SEM AMIANTO,ESPESSURA 6MM,INCLUSIVE INSTALACOES</t>
  </si>
  <si>
    <t>1.05</t>
  </si>
  <si>
    <t>02.006.0050-A</t>
  </si>
  <si>
    <t>ALUGUEL DE BANHEIRO QUIMICO,PORTATIL,MEDINDO 2,31M ALTURA X1,56M LARGURA E 1,16M PROFUNDIDADE,INCLUSIVE INSTALACAO E RETIRADA DO EQUIPAMENTO,FORNECIMENTO DE QUIMICA DESODORIZANTE,BACTERICIDA E BACTERIOSTATICA,PAPEL HIGIENICO E VEICULO PROPRIO COM UNIDADE MOVEL DE SUCCAO PARA LIMPEZA</t>
  </si>
  <si>
    <t>UNXMES</t>
  </si>
  <si>
    <t>1.06</t>
  </si>
  <si>
    <t>05.006.0001-B</t>
  </si>
  <si>
    <t>ALUGUEL DE ANDAIME COM ELEMENTOS TUBULARES (FACHADEIRO) SOBRE SAPATAS FIXAS, CONSIDERANDO-SE A AREA DA PROJECAO VERTICAL DO ANDAIME E PAGO PELO TEMPO NECESSARIO A SUA UTILIZACAO, EXCLUSIVE TRANSPORTE DOS ELEMENTOS DO ANDAIME ATE A OBRA, PLATAFORMA OU PASSARELA DE PINHO, MONTAGEM E DESMONTAGEM DOS ANDAIMES</t>
  </si>
  <si>
    <t>M2XMÊS</t>
  </si>
  <si>
    <t>1.07</t>
  </si>
  <si>
    <t>05.008.0001-A</t>
  </si>
  <si>
    <t>MONTAGEM E DESMONTAGEM DE ANDAIME COM ELEMENTOS TUBULARES, CONSIDERANDO-SE A AREA VERTICAL RECOBERTA</t>
  </si>
  <si>
    <t>1.08</t>
  </si>
  <si>
    <t>04.020.0122-A</t>
  </si>
  <si>
    <t>TRANSPORTE DE ANDAIME TUBULAR, CONSIDERANDO-SE A AREA DE PROJECAO VERTICAL DO ANDAIME, EXCLUSIVE CARGA, DESCARGA E TEMPO DE ESPERA DO CAMINHAO</t>
  </si>
  <si>
    <t>M2XKM</t>
  </si>
  <si>
    <t>1.09</t>
  </si>
  <si>
    <t>04.021.0010-A</t>
  </si>
  <si>
    <t>CARGA E DESCARGA MANUAL DE ANDAIME TUBULAR, INCLUSIVE TEMPO DE ESPERA DO CAMINHAO, CONSIDERANDO-SE A AREA DE PROJECAO VERTICAL</t>
  </si>
  <si>
    <t>1.10</t>
  </si>
  <si>
    <t>05.005.0014-A</t>
  </si>
  <si>
    <t>PLATAFORMA OU PASSARELA DE MADEIRA DE 1ª, CONSIDERANDO-SE APROVEITAMENTO DA MADEIRA 60 VEZES, EXCLUSIVE ANDAIME OU OUTRO SUPORTE E MOVIMENTACAO</t>
  </si>
  <si>
    <t>1.11</t>
  </si>
  <si>
    <t>05.105.0097-A</t>
  </si>
  <si>
    <t>MAO-DE-OBRA DE VIGIA,INCLUSIVE ENCARGOS SOCIAIS</t>
  </si>
  <si>
    <t>H</t>
  </si>
  <si>
    <t>1.12</t>
  </si>
  <si>
    <t>05.100.0900-A</t>
  </si>
  <si>
    <t>UNIDADE DE REFERENCIA PARA COMPLEMENTO DA ADMINISTRACAO LOCAL, CONSIDERANDO: CONSUMO DE AGUA, TELEFONE, ENERGIA ELETRICA, MATERIAIS DE LIMPEZA E DE ESCRITORIO, COMPUTADORES, LICENCA DE OBRA, MOVEIS E UTENSILIOS, AR CONDICIONADO, BEBEDOURO, ART, RRT, FOTOGRAFIAS, UNIFORMES, DIARIAS, EXAMES MEDICOS ADMISSIONAIS PERIODICOS E DEMISSIONAIS, CURSOS DE CAPACITACAO/TREINAMENTO E DEMAIS ITENS QUE COMPLEMENTEM AS DESPESAS NECESSARIAS, EXCL. DESPESAS COM ALIMENTACAO E TRANSPORTE DE PESSOAL</t>
  </si>
  <si>
    <t>UR</t>
  </si>
  <si>
    <t>1.13</t>
  </si>
  <si>
    <t>01.006.0010-A</t>
  </si>
  <si>
    <t>REGULARIZACAO DE TERRENO COM TRATOR EM TORNO DE 80CV, COMPREENDENDO ACERTO, RASPAGEM EVENTUALMENTE ATE 0,30M DE PROFUNDIDADE E AFASTAMENTO LATERAL DO MATERIAL EXCEDENTE</t>
  </si>
  <si>
    <t>1.14</t>
  </si>
  <si>
    <t>01.018.0002-A</t>
  </si>
  <si>
    <t>LOCACAO DE OBRA COM APARELHO TOPOGRAFICO SOBRE CERCA DE MARCACAO, INCLUSIVE CONSTRUCAO DESTA E SUA PRE-LOCACAO E O FORNECIMENTO DO MATERIAL E TENDO POR MEDICAO O PERIMETRO A CONSTRUIR</t>
  </si>
  <si>
    <t>M</t>
  </si>
  <si>
    <t>2.0</t>
  </si>
  <si>
    <t>SANITÁRIOS</t>
  </si>
  <si>
    <t>2.01</t>
  </si>
  <si>
    <t>FUNDAÇÃO E ESTRUTURA</t>
  </si>
  <si>
    <t>2.01.01</t>
  </si>
  <si>
    <t>03.001.0001-B</t>
  </si>
  <si>
    <t>ESCAVACAO MANUAL DE VALA/CAVA EM MATERIAL DE 1ª CATEGORIA (AREIA,ARGILA OU PICARRA), ATE 1,50M DE PROFUNDIDADE, EXCLUSIVE ESCORAMENTO E ESGOTAMENTO</t>
  </si>
  <si>
    <t>M3</t>
  </si>
  <si>
    <t>2.01.02</t>
  </si>
  <si>
    <t>11.003.0001-B</t>
  </si>
  <si>
    <t>CONCRETO DOSADO RACIONALMENTE PARA UMA RESISTENCIA CARACTERISTICA A COMPRESSAO DE 10MPA, INCLUSIVE MATERIAIS, TRANSPORTE, PREPARO COM BETONEIRA, LANCAMENTO E ADENSAMENTO (LASTRO PARA CINTAMENTO)</t>
  </si>
  <si>
    <t>2.01.03</t>
  </si>
  <si>
    <t>03.013.0001-B</t>
  </si>
  <si>
    <t>REATERRO DE VALA/CAVA COMPACTADA A MACO,EM CAMADAS DE 30CM DE ESPESSURA MAXIMA,COM MATERIAL DE BOA QUALIDADE,EXCLUSIVE ESTE</t>
  </si>
  <si>
    <t>2.01.04</t>
  </si>
  <si>
    <t>11.013.0130-A</t>
  </si>
  <si>
    <t>CONCRETO ARMADO, FCK=20MPA, INCLUINDO MATERIAIS PARA 1,00M3 DE CONCRETO(IMPORTADO DE USINA)ADENSADO E COLOCADO, 12,00M2 DE AREA MOLDADA, FORMAS CONFORME O ITEM 11.004.0022, 60KG DE ACOCA-50, INCLUSIVE MAO-DE-OBRA PARA CORTE, DOBRAGEM, MONTAGEM E COLOCACAO DAS FORMAS, EXCLUSIVE ESCORAMENTO</t>
  </si>
  <si>
    <t>2.01.05</t>
  </si>
  <si>
    <t>11.030.0020-A</t>
  </si>
  <si>
    <t>LAJE PRE-MOLDADA BETA 11,PARA SOBRECARGA ATE 3,5KN/M2 E VAODE 4,40M,CONSIDERANDO VIGOTAS,TIJOLOS E ARMADURA NEGATIVA,INCLUSIVE CAPEAMENTO DE 3CM DE ESPESSURA,C/CONCRETO FCK=20MPAE ESCORAMENTO.FORNECIMENTO E MONTAGEM DO CONJUNTO</t>
  </si>
  <si>
    <t>2.01.06</t>
  </si>
  <si>
    <t>20.111.0010-A</t>
  </si>
  <si>
    <t>AREIA PARA A REGIAO DE CAMPOS DOS GOYTACAZES, EXCLUSIVE TRANSPORTE, INCLUSIVE CARGA NO CAMINHAO. FORNECIMENTO</t>
  </si>
  <si>
    <t>2.01.07</t>
  </si>
  <si>
    <t>20.004.0033-B</t>
  </si>
  <si>
    <t>ATERRO COMPACTADO MECANICAMENTE, EM CAMADAS DE 20CM, INCLUINDO ESPALHAMENTO E IRRIGACAO, MAS SEM O FORNECIMENTO E TRANSPORTE DO MATERIAL</t>
  </si>
  <si>
    <t>2.01.08</t>
  </si>
  <si>
    <t>04.005.0140-A</t>
  </si>
  <si>
    <t>TRANSPORTE DE CARGA DE QUALQUER NATUREZA, EXCLUSIVE AS DESPESAS DE CARGA E DESCARGA, TANTO DE ESPERA DO CAMINHAO COMO DO SERVENTE OU EQUIPAMENTO AUXILIAR, A VELOCIDADE MEDIA DE 50KM/H, EM CAMINHAO BASCULANTE A OLEO DIESEL, COM CAPACIDADE UTIL DE12T</t>
  </si>
  <si>
    <t>T X KM</t>
  </si>
  <si>
    <t>2.02</t>
  </si>
  <si>
    <t>ALVENARIA E DIVISÓRIAS</t>
  </si>
  <si>
    <t>2.02.01</t>
  </si>
  <si>
    <t>12.003.0080-A</t>
  </si>
  <si>
    <t>ALVENARIA DE TIJOLOS CERAMICOS FURADOS 10X20X20CM, ASSENTES COM ARGAMASSA DE CIMENTO E SAIBRO, NO TRACO 1:8, EM PAREDES DE MEIA VEZ(0,10M) COM VAOS OU ARESTAS, ATE 3,00M DE ALTURA E MEDIDA PELA AREA REAL</t>
  </si>
  <si>
    <t>2.02.02</t>
  </si>
  <si>
    <t>11.013.0003-B</t>
  </si>
  <si>
    <t>VERGAS DE CONCRETO ARMADO PARA ALVENARIA, COM APROVEITAMENTO DA MADEIRA POR 10 VEZES</t>
  </si>
  <si>
    <t>2.02.03</t>
  </si>
  <si>
    <t>12.035.0001-A</t>
  </si>
  <si>
    <t>PAREDE DIVISORIA PARA SANITARIO EM GRANITO CINZA, COM 3CM DE ESPESSURA, POLIDA NAS DUAS FACES, FIXACAO PISO OU PAREDE, EXCLUSIVE FERRAGENS PARA FIXACAO. FORNECIMENTO E COLOCACAO</t>
  </si>
  <si>
    <t>2.03</t>
  </si>
  <si>
    <t>REVESTIMENTOS DE TETOS E PAREDES</t>
  </si>
  <si>
    <t>2.03.01</t>
  </si>
  <si>
    <t>13.002.0011-B</t>
  </si>
  <si>
    <t>REVESTIMENTO EXTERNO,DE UMA VEZ,COM ARGAMASSA DE CIMENTO,SAIBRO MACIO E AREIA FINA,NO TRACO 1:3:3,COM ESPESSURA DE 2,5CM,INCLUSIVE CHAPISCO DE CIMENTO E AREIA,NO TRACO 1:3,COM ESPESSURA DE 9MM</t>
  </si>
  <si>
    <t>2.03.02</t>
  </si>
  <si>
    <t>13.001.0010-B</t>
  </si>
  <si>
    <t>CHAPISCO EM SUPERFICIE DE CONCRETO OU ALVENARIA,COM ARGAMASSA DE CIMENTO E AREIA,NO TRACO 1:3,ESPESSURA DE 9MM</t>
  </si>
  <si>
    <t>2.03.03</t>
  </si>
  <si>
    <t>13.003.0001-A</t>
  </si>
  <si>
    <t>REVESTIMENTO INTERNO,DE UMA VEZ,MASSA UNICA OU EMBOCO PAULISTA COM ARGAMASSA DE CIMENTO,CAL,SAIBRO MACIO E AREIA FINA,NOTRACO 1:4:4:4, ESPESSURA DE 2CM ACABAMENTO CAMURCADO, APLICADO SOBRE SUPERFICIE CHAPISCADA, EXCLUSIVE CHAPISCO</t>
  </si>
  <si>
    <t>2.03.04</t>
  </si>
  <si>
    <t>13.030.0291-A</t>
  </si>
  <si>
    <t>REVESTIMENTO DE PAREDES COM CERAMICA 25X40CM E 8,5MM DE ESPESSURA,ASSENTE CONFORME ITEM 13.025.0058</t>
  </si>
  <si>
    <t>2.03.05</t>
  </si>
  <si>
    <t>CONCRETO DOSADO RACIONALMENTE PARA UMA RESISTENCIA CARACTERISTICA A COMPRESSAO DE 10MPA, INCLUSIVE MATERIAIS, TRANSPORTE, PREPARO COM BETONEIRA, LANCAMENTO E ADENSAMENTO (LASTRO DO CONTRAPISO)</t>
  </si>
  <si>
    <t>2.03.06</t>
  </si>
  <si>
    <t>13.301.0125-B</t>
  </si>
  <si>
    <t>CONTRAPISO,BASE OU CAMADA REGULARIZADORA, EXECUTADA COM ARGAMASSA DE CIMENTO E AREIA, NO TRACO 1:4, NA ESPESSURA DE 3CM</t>
  </si>
  <si>
    <t>2.03.07</t>
  </si>
  <si>
    <t>13.330.0075-A</t>
  </si>
  <si>
    <t>REVESTIMENTO DE PISO COM LADRILHO CERAMICO, ANTIDERRAPANTE, 40X40CM, SUJEITO A TRAFEGO INTENSO, RESISTENCIA A ABRASAO P.E.I.-IV, ASSENTES EM SUPERFICIE COM NATA DE CIMENTO SOBRE ARGAMASSA DE CIMENTO, AREIA E SAIBRO, NO TRACO 1:3:3, REJUNTAMENTO COM CIMENTO BRANCO E CORANTE</t>
  </si>
  <si>
    <t>2.03.08</t>
  </si>
  <si>
    <t>13.348.0070-A</t>
  </si>
  <si>
    <t>SOLEIRA EM GRANITO CINZA ANDORINHA, ESPESSURA DE 3CM, COM 2 POLIMENTOS, LARGURA DE 13CM, ASSENTADO COM ARGAMASSA DE CIMENTO, SAIBRO E AREIA, NO TRACO 1:2:2, E REJUNTAMENTO COM CIMENTO BRANCO E CORANTE</t>
  </si>
  <si>
    <t>2.04</t>
  </si>
  <si>
    <t>ESQUADRIAS E FERRAGENS</t>
  </si>
  <si>
    <t>2.04.01</t>
  </si>
  <si>
    <t>14.003.0148-A</t>
  </si>
  <si>
    <t>JANELA DE ALUMINIO ANODIZADO AO NATURAL, TIPO MAXIM-AR, COM PAINEL DESLIZANTE PROJETANTE, PROVIDA DE HASTE DE COMANDO, EM PERFIS SERIE 28. FORNECIMENTO E COLOCACAO</t>
  </si>
  <si>
    <t>2.04.02</t>
  </si>
  <si>
    <t>14.003.0225-A</t>
  </si>
  <si>
    <t>PORTA DE ALUMINIO ANODIZADO AO NATURAL, PERFIL SERIE 25, EM VENEZIANA, EXCLUSIVE FECHADURA. FORNECIMENTO E COLOCACAO</t>
  </si>
  <si>
    <t>2.04.03</t>
  </si>
  <si>
    <t>14.006.0023-A</t>
  </si>
  <si>
    <t>PORTA DE MADEIRA DE LEI EM COMPENSADO, DE 90X210X3CM, FOLHEADANAS 2 FACES, ADUELA E ALIZARES, EXCLUSIVE FERRAGENS. FORNECIMENTO E COLOCACAO</t>
  </si>
  <si>
    <t>2.04.04</t>
  </si>
  <si>
    <t>14.006.0010-A</t>
  </si>
  <si>
    <t>PORTA DE MADEIRA DE LEI EM COMPENSADO DE 80X210X3CM FOLHEADANAS 2 FACES, ADUELA DE 13X3CM E ALIZARES DE 5X2CM, EXCLUSIVE FERRAGENS. FORNECIMENTO E COLOCACAO</t>
  </si>
  <si>
    <t>2.04.05</t>
  </si>
  <si>
    <t>14.007.0057-A</t>
  </si>
  <si>
    <t>FERRAGENS P/PORTA MADEIRA, 1 FOLHA DE ABRIR, INTERNA, CONSTANDODE FORNEC.S/COLOC., DE:-FECHADURA SIMPLES, RETANGULAR ACABAM.CROMADO ACETINADO;-MACANETA TIPO ALAVANCA, ACABAMENTO CROMADO ACETINADO; -ROSETA CIRCULAR EM LATAO LAMINADO ACABAMENTO CROMADO ACETINADO; -3 DOBRADICAS DE FERRO GALVANIZ.DE 3"X2.1/2", COM PINO E BOLAS DE LATAO</t>
  </si>
  <si>
    <t>2.04.06</t>
  </si>
  <si>
    <t>14.007.0332-A</t>
  </si>
  <si>
    <t>TARGETA DE FIO REDONDO,DE 2",EM FERRO CROMADO.FORNECIMENTO</t>
  </si>
  <si>
    <t>2.04.07</t>
  </si>
  <si>
    <t>14.004.0040-A</t>
  </si>
  <si>
    <t>VIDRO, FANTASIA, DE 4MM DE ESPESSURA, DO TIPO MARTELADO, ARTICO, OU LIXA. FORNECIMENTO E COLOCACAO</t>
  </si>
  <si>
    <t>2.04.08</t>
  </si>
  <si>
    <t>18.016.0105-A</t>
  </si>
  <si>
    <t>BARRA DE APOIO, PARA PESSOAS COM NECESSIDADES ESPECIFICAS, EM TUBO DE 1.1/4" DE ACO INOXIDAVEL, AISI-304, LIGA 18.8, COM 50CM. FORNECIMENTO E COLOCACAO</t>
  </si>
  <si>
    <t>2.04.09</t>
  </si>
  <si>
    <t>18.016.0106-A</t>
  </si>
  <si>
    <t>BARRA DE APOIO, PARA PESSOAS COM NECESSIDADES ESPECIFICAS, EM TUBO DE 1.1/2" DE ACO INOXIDAVEL, AISI-304, LIGA 18.8, COM 80CM. FORNECIMENTO E COLOCACAO</t>
  </si>
  <si>
    <t>2.05</t>
  </si>
  <si>
    <t>INSTALAÇÕES HIDROSSANITÁRIAS, LOUÇAS E METAIS</t>
  </si>
  <si>
    <t>2.05.01</t>
  </si>
  <si>
    <t>15.004.0105-A</t>
  </si>
  <si>
    <t>INSTALACAO E ASSENTAMENTO DE VASO SANITARIO INDIVIDUAL E VALVULA DE DESCARGA(EXCL.ESTES)EM PAVIMENTO TERREO, COMPREENDENDO: INSTALACAO HIDRAULICA COM 2,00M TUBO PVC 50MM, COM CONEXOES, ATE VALVULA E APOS ESTA ATE O VASO, LIGACAO ESGOTOS COM 3,00M TUBO PVC 100MM A CAIXA DE INSPECAO E TUBO VENTILACAO, INCLUSIVE CONEXOES, EXCLUSIVE TUBO DE VENTILACAO</t>
  </si>
  <si>
    <t>2.05.02</t>
  </si>
  <si>
    <t>18.002.0085-A</t>
  </si>
  <si>
    <t>VASO SANITARIO DE LOUCA BRANCA, CONVENCIONAL, TIPO MEDIO LUXO, COM MEDIDAS EM TORNO DE 37X47X38CM, INCL. ASSENTO PLASTICO TIPO MEDIO LUXO, BOLSA DE LIGACAO, VALVULA DE DESCARGA DE 1.1/2"C/REGISTRO INTEGRADO, SISTEMA HIDROMECANICO (ISENTA DE GOLPE DE ARIETE) COM CORPO EM LATAO, CANOPLA E BOTAO EM METAL CROMADO, TUBO DE LIGACAO E ACESSORIOS DE FIXACAO. FORNECIMENTO</t>
  </si>
  <si>
    <t>2.05.03</t>
  </si>
  <si>
    <t>15.004.0181-A</t>
  </si>
  <si>
    <t>RALO SIFONADO DE PVC(100X100)X50MM, EM PAVIMENTO TERREO, COM TAMPA CEGA, COM 1 ENTRADA DE 40MM E SAIDA DE 50MM, INCLUSIVE LIGACAO DE 50MM DE PVC ATE A CAIXA DE INSPECAO, CONSIDERANDO ADISTANCIA DO CENTRO DO RALO ATE 2,00M. FORNECIMENTO E INSTALACAO</t>
  </si>
  <si>
    <t>2.05.04</t>
  </si>
  <si>
    <t>15.004.0050-A</t>
  </si>
  <si>
    <t>INSTALACAO E ASSENTAMENTO DE MICTORIO(EXCLUSIVE FORNECIMENTODO APARELHO), COMPREENDENDO: 3,00M DE TUBO DE PVC DE 25MM, 1,50M DE TUBOS DE PVC DE 40MM E 50MM, CADA, CONEXOES E RALO SIFONADO DE PVC COM 100X100X50MM COM TAMPA CEGA</t>
  </si>
  <si>
    <t>2.05.05</t>
  </si>
  <si>
    <t>18.002.0055-A</t>
  </si>
  <si>
    <t>MICTORIO DE LOUCA BRANCA COM SIFAO INTEGRADO E MEDIDAS EM TORNO DE 33X28X53CM. FERRAGENS EM METAL CROMADO: REGISTRO DE PRESSAO 1416 DE 1/2" E TUBO DE LIGACAO DE 1/2". FORNECIMENTO</t>
  </si>
  <si>
    <t>2.05.06</t>
  </si>
  <si>
    <t>18.003.0015-A</t>
  </si>
  <si>
    <t>VALVULA DE FECHAMENTO AUTOMATICO, PARA MICTORIO, ACABAMENTO CROMADO. FORNECIMENTO</t>
  </si>
  <si>
    <t>2.05.07</t>
  </si>
  <si>
    <t>15.004.0063-A</t>
  </si>
  <si>
    <t>INSTALACAO E ASSENTAMENTO DE LAVATORIO DE UMA TORNEIRA(EXCLUSIVE FORNECIMENTO DO APARELHO), COMPREENDENDO: 3,00M DE TUBO DE PVC DE 25MM, 2,00M DE TUBO DE PVC DE 40MM, RABICHOS E CONEXOES</t>
  </si>
  <si>
    <t>2.05.08</t>
  </si>
  <si>
    <t>15.004.0064-A</t>
  </si>
  <si>
    <t>INSTALACAO E ASSENTAMENTO DE LAVATORIO DE 2 TORNEIRAS(EXCLUSIVE FORNECIMENTO DO APARELHO), COMPREENDENDO: 3,00M DE TUBO DEPVC DE 25MM, 2,00M DE TUBO DE PVC DE 40MM, RABICHOS E CONEXOES</t>
  </si>
  <si>
    <t>2.05.09</t>
  </si>
  <si>
    <t>18.002.0027-A</t>
  </si>
  <si>
    <t>LAVATORIO DE LOUCA BRANCA DE EMBUTIR(CUBA), TIPO MEDIO LUXO, COM LADRAO, COM MEDIDAS EM TORNO DE 52X39CM. FERRAGENS EM METALCROMADO:SIFAO 1680 1"X1.1/4", TORNEIRA DE PRESSAO 1193 DE 1/2" E VALVULA DE ESCOAMENTO 1603. RABICHO EM PVC.FORNECIMENTO</t>
  </si>
  <si>
    <t>2.05.10</t>
  </si>
  <si>
    <t>18.002.0014-A</t>
  </si>
  <si>
    <t>LAVATORIO DE LOUCA BRANCA, COM COLUNA SUSPENSA, PARA PESSOAS COM NECESSIDADES ESPECIFICAS, COM MEDIDAS EM TORNO DE 45,5X35,5CM, INCLUSIVE SIFAO EM PVC FLEXIVEL, VALVULA DE ESCOAMENTO CROMADA, RABICHO EM PVC E TORNEIRA DE FECHAMENTO AUTOMATICO. FORNECIMENTO</t>
  </si>
  <si>
    <t>2.05.11</t>
  </si>
  <si>
    <t>18.082.0051-A</t>
  </si>
  <si>
    <t>BANCA DE GRANITO CINZA ANDORINHA, COM 3CM DE ESPESSURA, COM ABERTURA PARA 2 CUBAS(EXCLUSIVE ESTAS), SOBRE APOIOS DE ALVENARIA DE MEIA VEZ E VERGA DE CONCRETO, SEM REVESTIMENTO. FORNECIMENTO E COLOCACAO</t>
  </si>
  <si>
    <t>2.05.12</t>
  </si>
  <si>
    <t>14.004.0100-A</t>
  </si>
  <si>
    <t>ESPELHO DE CRISTAL, 4MM DE ESPESSURA. COM MOLDURA DE MADEIRA. FORNECIMENTO E COLOCACAO</t>
  </si>
  <si>
    <t>2.05.13</t>
  </si>
  <si>
    <t>15.065.0020-A</t>
  </si>
  <si>
    <t>LIGACAO PREDIAL DE ESGOTO SANITARIO,SEGUNDO INSTRUCOES DA CEDAE,INCLUSIVE CAIXA DE INSPECAO COM TAMPAO DE FERRO FUNDIDOLEVE,EM LOGRADOURO PAVIMENTADO,COM PARALELEPIPEDOS SOBRE COLCHOES DE AREIA OU PO-DE-PEDRA,E DOTADO DE COLETOR UNICO.ESTECUSTO INCLUI ESCAVACAO E REATERRO</t>
  </si>
  <si>
    <t>2.05.14</t>
  </si>
  <si>
    <t>18.021.0035-A</t>
  </si>
  <si>
    <t>RESERVATORIO, EM FIBRA DE VIDRO OU POLIETILENO, COM CAPACIDADE EM TORNO DE 1.000L, INCLUSIVE TAMPA DE VEDACAO COM ESCOTILHAE FIXADORES. FORNECIMENTO</t>
  </si>
  <si>
    <t>2.05.15</t>
  </si>
  <si>
    <t>15.028.0010-A</t>
  </si>
  <si>
    <t>COLOCACAO DE RESERVATORIO DE FIBROCIMENTO, FIBRA DE VIDRO OU SEMELHANTE COM 1000L, INCLUSIVE PECAS DE APOIO EM ALVENARIA E MADEIRA SERRADA, E FLANGES DE LIGACAO HIDRAULICA, EXCLUSIVE FORNECIMENTO DO RESERVATORIO</t>
  </si>
  <si>
    <t>2.06</t>
  </si>
  <si>
    <t>INSTALAÇÕES ELÉTRICAS</t>
  </si>
  <si>
    <t>2.06.01</t>
  </si>
  <si>
    <t>2.06.02</t>
  </si>
  <si>
    <t>2.06.03</t>
  </si>
  <si>
    <t>15.036.0080-A</t>
  </si>
  <si>
    <t>ELETRODUTO DE PVC ESPIRAL CORRUGADO, DIAMETRO DE 1", INCLUSIVE CONEXOES E EMENDAS. FORNECIMENTO E INSTALACAO</t>
  </si>
  <si>
    <t>2.06.04</t>
  </si>
  <si>
    <t>06.014.0060-A</t>
  </si>
  <si>
    <t>CAIXA DE PASSAGEM EM ALVENARIA DE TIJOLO MACICO (7X10X20CM), EM PAREDES DE UMA VEZ (0,20M), DE 0,40X0,40X0,60M, UTILIZANDO ARGAMASSA DE CIMENTO E AREIA, NO TRACO 1:4 EM VOLUME, COM FUNDOEM CONCRETO SIMPLES PROVIDO DE CALHA INTERNA, SENDO AS PAREDES REVESTIDAS INTERNAMENTE COM A MESMA ARGAMASSA, INCLUSIVE TAMPA DE CONCRETO ARMADO, 15MPA, COM ESPESSURA DE 10CM</t>
  </si>
  <si>
    <t>2.06.05</t>
  </si>
  <si>
    <t>15.008.0025-A</t>
  </si>
  <si>
    <t>FIO DE COBRE COM ISOLAMENTO TERMOPLASTICO, ANTICHAMA, COMPREENDENDO: PREPARO, CORTE E ENFIACAO EM ELETRODUTOS, NA BITOLA DE 4MM2, 450/750V. FORNECIMENTO E COLOCACAO</t>
  </si>
  <si>
    <t>2.06.06</t>
  </si>
  <si>
    <t>15.007.0600-A</t>
  </si>
  <si>
    <t>DISJUNTOR TERMOMAGNETICO, TRIPOLAR, DE 10 A 50A X 250V. FORNECIMENTO E COLOCACAO</t>
  </si>
  <si>
    <t>2.06.07</t>
  </si>
  <si>
    <t>15.007.0495-A</t>
  </si>
  <si>
    <t>QUADRO DE DISTRIBUICAO DE ENERGIA PARA DISJUNTORES TERMO-MAGNETICOS UNIPOLARES, DE EMBUTIR, COM PORTA E BARRAMENTOS DE FASE, NEUTRO E TERRA, PARA INSTALACAO DE ATE 3 DISJUNTORES SEM DISPOSITIVO PARA CHAVE GERAL. FORNECIMENTO E COLOCACAO</t>
  </si>
  <si>
    <t>2.06.08</t>
  </si>
  <si>
    <t>21.015.0230-A</t>
  </si>
  <si>
    <t>HASTE PARA ATERRAMENTO,DE 5/8"(16MM),COM 2,50M DE COMPRIMENTO.FORNECIMENTO</t>
  </si>
  <si>
    <t>2.06.09</t>
  </si>
  <si>
    <t>21.028.0015-A</t>
  </si>
  <si>
    <t>CONECTOR DE ATERRAMENTO TIPO KC 22H. FORNECIMENTO E INSTALACAO</t>
  </si>
  <si>
    <t>2.06.10</t>
  </si>
  <si>
    <t>15.015.0020-A</t>
  </si>
  <si>
    <t>INSTALACAO DE PONTO DE LUZ,EMBUTIDO NA LAJE,EQUIVALENTE A 2VARAS DE ELETRODUTO DE PVC RIGIDO DE 3/4",12,00M DE FIO 2,5MM2,CAIXAS,CONEXOES,LUVAS,CURVA E INTERRUPTOR DE EMBUTIR COMPLACA FOSFORESCENTE,INCLUSIVE ABERTURA E FECHAMENTO DE RASGOEM ALVENARIA</t>
  </si>
  <si>
    <t>2.06.11</t>
  </si>
  <si>
    <t>15.020.0168-A</t>
  </si>
  <si>
    <t>LAMPADA LED,BULBO,PAR 38,16W,120/220V,BASE E-27.FORNECIMENTOE COLOCACAO</t>
  </si>
  <si>
    <t>2.06.12</t>
  </si>
  <si>
    <t>18.260.0065-A</t>
  </si>
  <si>
    <t>SUPORTE PARA LAMPADA.FORNECIMENTO E COLOCACAO</t>
  </si>
  <si>
    <t>2.06.13</t>
  </si>
  <si>
    <t>15.015.0250-A</t>
  </si>
  <si>
    <t>INSTALACAO DE PONTO DE TOMADA, EMBUTIDO NA ALVENARIA, EQUIVALENTE A 2 VARAS DE ELETRODUTO DE PVC RIGIDO DE 3/4", 12,00M DEFIO 2,5MM2, CAIXAS, CONEXOES E TOMADA DE EMBUTIR, 2P+T,10A, PADRAO BRASILEIRO, COM PLACA FOSFORESCENTE, INCLUSIVE ABERTURA E FECHAMENTO DE RASGO EM ALVENARIA</t>
  </si>
  <si>
    <t>2.07</t>
  </si>
  <si>
    <t>PINTURA</t>
  </si>
  <si>
    <t>2.07.01</t>
  </si>
  <si>
    <t>17.018.0080-A</t>
  </si>
  <si>
    <t>PINTURA COM TINTA LATEX, CLASSIFICACAO STANDARD (NBR 15079), PARA EXTERIOR, INCLUSIVE LIXAMENTOS, LIMPEZA, UMA DEMAO DE SELADOR ACRILICO E DUAS DEMAOS DE ACABAMENTO</t>
  </si>
  <si>
    <t>2.07.02</t>
  </si>
  <si>
    <t>17.017.0100-A</t>
  </si>
  <si>
    <t>PREPARO DE MADEIRA NOVA, INCLUSIVE LIXAMENTO, LIMPEZA, UMA DEMAO DE VERNIZ ISOLANTE INCOLOR, DUAS DEMAOS DE MASSA PARA MADEIRA, LIXAMENTO E REMOCAO DE PO, E UMA DEMAO DE FUNDO SINTETICO NIVELADOR</t>
  </si>
  <si>
    <t>2.07.03</t>
  </si>
  <si>
    <t>17.017.0120-B</t>
  </si>
  <si>
    <t>PINTURA INTERNA OU EXTERNA SOBRE MADEIRA NOVA, COM TINTA A OLEO BRILHANTE OU ACETINADA COM DUAS DEMAOS DE ACABAMENTO SOBRE SUPERFICIE PREPARADA, CONFORME O ITEM 17.017.0100, EXCLUSIVE ESTE PREPARO</t>
  </si>
  <si>
    <t>3.0</t>
  </si>
  <si>
    <t>CAMPO SOCIETY DE GRAMA SINTÉTICA</t>
  </si>
  <si>
    <t>3.01</t>
  </si>
  <si>
    <t>ÁREA DE JOGO</t>
  </si>
  <si>
    <t>3.01.01</t>
  </si>
  <si>
    <t>3.01.02</t>
  </si>
  <si>
    <t>3.01.03</t>
  </si>
  <si>
    <t>3.01.04</t>
  </si>
  <si>
    <t>3.01.05</t>
  </si>
  <si>
    <t>3.01.06</t>
  </si>
  <si>
    <t>08.001.0008-A</t>
  </si>
  <si>
    <t>BASE DE BRITA CORRIDA, INCLUSIVE FORNECIMENTO DOS MATERIAIS, MEDIDA APOS A COMPACTACAO</t>
  </si>
  <si>
    <t>3.01.07</t>
  </si>
  <si>
    <t>08.035.0001-A</t>
  </si>
  <si>
    <t>(COLCHAO)DE PO-DE-PEDRA, ESPALHADO E COMPRIMIDO MECANICAMENTE, MEDIDA APOS COMPACTACAO</t>
  </si>
  <si>
    <t>3.01.08</t>
  </si>
  <si>
    <t>08.026.0002-A</t>
  </si>
  <si>
    <t>PINTURA DE LIGACAO, DE ACORDO COM AS "INSTRUCOES PARA EXECUCAO", DO DER-RJ</t>
  </si>
  <si>
    <t>3.01.09</t>
  </si>
  <si>
    <t>3.01.10</t>
  </si>
  <si>
    <t>PJ 04.20.0055 (CATÁLOGO SCO)</t>
  </si>
  <si>
    <t>PISO DE GRAMA SINTETICA, EM ROLO, COM FIOS DE 50MM DE ALTURA, NA COR VERDE, DEMARCACAO DE LINHAS COM GRAMA NA COR BRANCA, SISTEMA DE AMORTECIMENTO COMPOSTO COM AS SEGUINTES CARACTERISTICAS MINIMAS: CAMADA DE AREIA ESPECIAL COM 1CM DE ESPESSURA (20 KG/M2) E GRANULOS DE BORRACHA DE GRANULOMETRIA DE 0,6 A 2MM (9 KG/M2) E MAO DE OBRA ESPECIALIZADA PARA INSTALACAO; EXCLUSIVE BASE ASFALTICA, MURETA PERIMETRAL PARA CONTENCAO DA BASE, CANALETA PERIMETRAL PARA COLETA E ESCOAMENTO DA AGUA E PREPARO DE TERRENO. FORNECIMENTO E COLOCACAO. (DESONERADO)</t>
  </si>
  <si>
    <t>3.02</t>
  </si>
  <si>
    <t>DRENAGEM</t>
  </si>
  <si>
    <t>3.02.01</t>
  </si>
  <si>
    <t>ESCAVACAO MANUAL DE VALA/CAVA EM MATERIAL DE 1ª CATEGORIA (A(AREIA,ARGILA OU PICARRA), ATE 1,50M DE PROFUNDIDADE, EXCLUSIVE ESCORAMENTO E ESGOTAMENTO</t>
  </si>
  <si>
    <t>3.02.02</t>
  </si>
  <si>
    <t>CONCRETO DOSADO RACIONALMENTE PARA UMA RESISTENCIA CARACTERISTICA A COMPRESSAO DE 10MPA, INCLUSIVE MATERIAIS, TRANSPORTE, PREPARO COM BETONEIRA, LANCAMENTO E ADENSAMENTO (BASE DA CALHA)</t>
  </si>
  <si>
    <t>3.02.03</t>
  </si>
  <si>
    <t>12.005.0100-A</t>
  </si>
  <si>
    <t>ALVENARIA DE BLOCOS DE CONCRETO 10X20X40CM,ASSENTES COM ARGAMASSA DE CIMENTO,CAL HIDRATADA ADITIVADA E AREIA,NO TRACO 1:1:10,EM PAREDES DE 0,10M DE ESPESSURA,DE SUPERFICIE CORRIDA,ATE 3,00M DE ALTURA E MEDIDA PELA AREA REAL</t>
  </si>
  <si>
    <t>3.02.04</t>
  </si>
  <si>
    <t>11.009.0013-A</t>
  </si>
  <si>
    <t>BARRA DE ACO CA-50, COM SALIENCIA OU MOSSA, COEFICIENTE DE CONFORMACAO SUPERFICIAL MINIMO (ADERENCIA) IGUAL A 1,5, DIAMETRODE 6,3MM, DESTINADA A ARMADURA DE CONCRETO ARMADO, 10% DE PERDAS DE PONTAS E ARAME 18. FORNECIMENTO</t>
  </si>
  <si>
    <t>KG</t>
  </si>
  <si>
    <t>3.02.05</t>
  </si>
  <si>
    <t>CONCRETO DOSADO RACIONALMENTE PARA UMA RESISTENCIA CARACTERISTICA A COMPRESSAO DE 10MPA, INCLUSIVE MATERIAIS, TRANSPORTE, PREPARO COM BETONEIRA, LANCAMENTO E ADENSAMENTO (ENCHIMENTO DOS BLOCOS)</t>
  </si>
  <si>
    <t>3.02.06</t>
  </si>
  <si>
    <t>16.034.0006-A</t>
  </si>
  <si>
    <t>IMPERMEABILIZACAO PAREDES DE ALVENARIA DE TIJOLOS CERAMICOS OU BLOCOS CONCRETO,C/FUROS,S/A PRESENCA DE CAL,C/ABSORCAO UMIDADE(UMIDADE ASCENDENTE)APLICANDO DUAS DEMAOS CRUZADAS CIMENTO POLIMERICO,ATENDENDO ABNT NBR 11905,CONSUMO 1KG/M2/DEMAO,DESDE PISO ATE ALTURA 1 A 1,2M</t>
  </si>
  <si>
    <t>3.02.07</t>
  </si>
  <si>
    <t>06.016.0050-A</t>
  </si>
  <si>
    <t>GRELHA PARA CANALETA DE FºFº,COM(15X50CM) CARGA MINIMA PARATESTE 800KG,RESISTENCIA MAXIMA DE ROMPIMENTO 1000KG E FLECHARESIDUAL MAXIMA 12MM.FORNECIMENTO E ASSENTAMENTO</t>
  </si>
  <si>
    <t>3.02.08</t>
  </si>
  <si>
    <t>3.02.09</t>
  </si>
  <si>
    <t>15.036.0050-A</t>
  </si>
  <si>
    <t>TUBO DE PVC RIGIDO DE 50MM, SOLDAVEL, INCLUSIVE CONEXOES E EMENDAS, EXCLUSIVE ABERTURA E FECHAMENTO DE RASGO. FORNECIMENTO E ASSENTAMENTO</t>
  </si>
  <si>
    <t>3.02.10</t>
  </si>
  <si>
    <t>CAIXA DE PASSAGEM EM ALVENARIA DE TIJOLO MACICO(7X10X20CM), EM PAREDES DE UMA VEZ (0,20M), DE 0,40X0,40X0,60M, UTILIZANDO ARGAMASSA DE CIMENTO E AREIA, NO TRACO 1:4 EM VOLUME, COM FUNDOEM CONCRETO SIMPLES PROVIDO DE CALHA INTERNA, SENDO AS PAREDES REVESTIDAS INTERNAMENTE COM A MESMA ARGAMASSA, INCLUSIVE TAMPA DE CONCRETO ARMADO, 15MPA, COM ESPESSURA DE 10CM</t>
  </si>
  <si>
    <t>3.02.11</t>
  </si>
  <si>
    <t>15.036.0052-A</t>
  </si>
  <si>
    <t>TUBO DE PVC RIGIDO DE 100MM,SOLDAVEL,INCLUSIVE CONEXOES E EMENDAS,EXCLUSIVE ABERTURA E FECHAMENTO DE RASGO.FORNECIMENTOE ASSENTAMENTO</t>
  </si>
  <si>
    <t>3.03</t>
  </si>
  <si>
    <t>ALAMBRADO E EQUIPAMENTOS ESPORTIVOS</t>
  </si>
  <si>
    <t>3.03.01</t>
  </si>
  <si>
    <t>09.015.0070-A</t>
  </si>
  <si>
    <t>ALAMBRADO P/CAMPO DE ESPORTE, POSTE TUBO FºGALV., ESPACADOS 2M, DIAMETRO 2"E ESP.PAREDE 1/8", ALTURA 3M LIVRES SOBRE SOLO, FIXADOS PRISMA CONCRETO FCK=18MPA, (0,30X0,30X1,00)M, SOBRE POSTES FIXADA TELA ARAME Nº12 PLASTIFICADA, MALHA 7,50CM, PRESA 2ARAMES Nº12 PLASTIFICADOS, TRANSV.E ATRAVESSANDO TUBOS SUPERIOR E INFERIORMENTE, C/UM T E UMA CRUZETA 2".FORN.E COLOC.</t>
  </si>
  <si>
    <t>3.03.02</t>
  </si>
  <si>
    <t>18.200.0004-A</t>
  </si>
  <si>
    <t>TRAVE DESMONTAVEL PARA FUTEBOL DE SALAO, EM TUBO DE FERRO GALVANIZADO E BUCHAS. FORNECIMENTO</t>
  </si>
  <si>
    <t>PAR</t>
  </si>
  <si>
    <t>3.03.03</t>
  </si>
  <si>
    <t>18.200.0005-A</t>
  </si>
  <si>
    <t>REDE DE NYLON PARA FUTEBOL DE SALAO.FORNECIMENTO</t>
  </si>
  <si>
    <t>3.04</t>
  </si>
  <si>
    <t xml:space="preserve">PINTURA </t>
  </si>
  <si>
    <t>3.04.01</t>
  </si>
  <si>
    <t>3.04.02</t>
  </si>
  <si>
    <t>17.017.0320-A</t>
  </si>
  <si>
    <t>PINTURA INTERNA OU EXTERNA SOBRE FERRO, COM ESMALTE SINTETICO BRILHANTE OU ACETINADO APOS LIXAMENTO, LIMPEZA, DESENGORDURAMENTO, UMA DEMAO DE FUNDO ANTICORROSIVO NA COR LARANJA DE SECAGEM RAPIDA E DUAS DEMAOS DE ACABAMENTO</t>
  </si>
  <si>
    <t>3.05</t>
  </si>
  <si>
    <t>ILUMINAÇÃO DO CAMPO</t>
  </si>
  <si>
    <t>3.05.01</t>
  </si>
  <si>
    <t>3.05.02</t>
  </si>
  <si>
    <t>3.05.03</t>
  </si>
  <si>
    <t>3.05.04</t>
  </si>
  <si>
    <t>3.05.05</t>
  </si>
  <si>
    <t>15.008.0095-A</t>
  </si>
  <si>
    <t>CABO DE COBRE COM ISOLAMENTO TERMOPLASTICO, COMPREENDENDO: PREPARO, CORTE E ENFIACAO EM ELETRODUTOS, NA BITOLA DE 6MM2, 450/750V. FORNECIMENTO E COLOCACAO</t>
  </si>
  <si>
    <t>3.05.06</t>
  </si>
  <si>
    <t>3.05.07</t>
  </si>
  <si>
    <t>3.05.08</t>
  </si>
  <si>
    <t>3.05.09</t>
  </si>
  <si>
    <t>12.003.0076-A</t>
  </si>
  <si>
    <t>ALVENARIA DE TIJOLOS CERAMICOS FURADOS 10X20X20CM, ASSENTES COM ARGAMASSA DE CIMENTO E SAIBRO, NO TRACO 1:8, EM PAREDES DE MEIA VEZ(0,10M), DE SUPERFICIE CORRIDA, ATE 1,50M DE ALTURA E MEDIDA PELA AREA REAL</t>
  </si>
  <si>
    <t>3.05.10</t>
  </si>
  <si>
    <t>13.001.0026-A</t>
  </si>
  <si>
    <t>EMBOCO COM ARGAMASSA DE CIMENTO E AREIA,NO TRACO 1:3 COM 2CMDE ESPESSURA,INCLUSIVE CHAPISCO DE CIMENTO E AREIA,NO TRACO1:3,COM 9MM DE ESPESSURA</t>
  </si>
  <si>
    <t>3.05.11</t>
  </si>
  <si>
    <t>3.05.12</t>
  </si>
  <si>
    <t>3.05.13</t>
  </si>
  <si>
    <t>19.004.0004-C</t>
  </si>
  <si>
    <t>CAMINHAO COM CARROCERIA FIXA, NO TOCO, CAPACIDADE DE 7,5T, INCLUSIVE MOTORISTA</t>
  </si>
  <si>
    <t>3.05.14</t>
  </si>
  <si>
    <t>19.004.0081-C</t>
  </si>
  <si>
    <t>GUINDAUTO COM CAPACIDADE MAXIMA DE CARGA EM TORNO DE 4T A APROXIMADAMENTE 2,00M E ALCANCE MAXIMO VERTICAL (DO SOLO)A APROXIMADAMENTE 8,00M, ANGULO DE GIRO DE 180º, MONTADO SOBRE CHASSIS DE CAMINHAO, EXCLUSIVE ESTE. SAO CONSIDERADOS DOIS AJUDANTES, EXCLUSIVE OPERADOR QUE E CONSIDERADO O MOTORISTA DO CAMINHAO</t>
  </si>
  <si>
    <t>3.05.15</t>
  </si>
  <si>
    <t>18.045.0026-A</t>
  </si>
  <si>
    <t>POSTE DE CONCRETO,COM SECAO CIRCULAR,COM 9,00M DE COMPRIMENTO E CARGA NOMINAL NO TOPO DE 200KG,INCLUSIVE ESCAVACAO,EXCLUSIVE TRANSPORTE.FORNECIMENTO E COLOCACAO</t>
  </si>
  <si>
    <t>3.05.16</t>
  </si>
  <si>
    <t>21.001.0010-A</t>
  </si>
  <si>
    <t>ASSENTAMENTO DE POSTE DE CONCRETO, CIRCULAR,RETO DE 9,00M, COM CABECA DE CONCRETO, EXCLUSIVE FORNECIMENTO DO POSTE E DA CABECA</t>
  </si>
  <si>
    <t>3.05.17</t>
  </si>
  <si>
    <t>21.042.0115-A</t>
  </si>
  <si>
    <t>PROJETOR PRJ-10, PARA LAMPADA A VAPOR DE SODIO OU MULTIVAPORMETALICO DE 250/400W TUBULAR, EM LIGA DE ALUMINIO FUNDIDO TIPO ASTM-SG-70A OU SAE 323, VISOR DE VIDRO PLANO, INCOLOR, TEMPERADO, RESISTENTE A IMPACTOS E CHOQUE TERMICO, SUPORTE TIPO "U", EM FERRO GALVANIZADO POR IMERSAO A QUENTE, CONFORME DESENHO A4-1188-PD E ESPECIFICACAO EM-RIOLUZ Nº20. FORNECIMENTO</t>
  </si>
  <si>
    <t>3.05.18</t>
  </si>
  <si>
    <t>15.020.0095-A</t>
  </si>
  <si>
    <t>LAMPADA DE VAPOR METALICO OVOIDE DE 400W-220V.FORNECIMENTO ECOLOCACAO</t>
  </si>
  <si>
    <t>3.05.19</t>
  </si>
  <si>
    <t>21.050.0055-A</t>
  </si>
  <si>
    <t>CINTA DE ACO GALVANIZADO DE 140MM.FORNECIMENTO</t>
  </si>
  <si>
    <t>3.05.20</t>
  </si>
  <si>
    <t>21.050.0060-A</t>
  </si>
  <si>
    <t>CINTA DE ACO GALVANIZADO DE 220MM.FORNECIMENTO</t>
  </si>
  <si>
    <t>3.05.21</t>
  </si>
  <si>
    <t>ELEMENTAR (05400)</t>
  </si>
  <si>
    <t>CRUZETA DE MADEIRA PARA LINHA DE 13,8KV, DE (90X115X2000)MM</t>
  </si>
  <si>
    <t>3.05.22</t>
  </si>
  <si>
    <t>ELEMENTAR (05401)</t>
  </si>
  <si>
    <t>SELA P/CRUZETA DE MADEIRA</t>
  </si>
  <si>
    <t>3.05.23</t>
  </si>
  <si>
    <t>ELEMENTAR (05399)</t>
  </si>
  <si>
    <t>MAO-FRANCESA P/CRUZETA DE MADEIRA</t>
  </si>
  <si>
    <t>3.05.24</t>
  </si>
  <si>
    <t>05.105.0013-A</t>
  </si>
  <si>
    <t>MAO-DE-OBRA DE ELETRICISTA,INCLUSIVE ENCARGOS SOCIAIS</t>
  </si>
  <si>
    <t>3.05.25</t>
  </si>
  <si>
    <t>05.105.0016-A</t>
  </si>
  <si>
    <t>MAO-DE-OBRA DE AJUDANTE,INCLUSIVE ENCARGOS SOCIAIS</t>
  </si>
  <si>
    <t>4.0</t>
  </si>
  <si>
    <t>PAVIMENTAÇÕES</t>
  </si>
  <si>
    <t>4.01</t>
  </si>
  <si>
    <t>SERVIÇOS DIVERSOS</t>
  </si>
  <si>
    <t>4.01.01</t>
  </si>
  <si>
    <t>09.010.0001-A</t>
  </si>
  <si>
    <t>CORDOES DE CONCRETO SIMPLES, COM SECAO DE 10X25CM, MOLDADOS NO LOCAL, INCLUSIVE ESCAVACAO E REATERRO</t>
  </si>
  <si>
    <t>4.01.02</t>
  </si>
  <si>
    <t>08.027.0042-A</t>
  </si>
  <si>
    <t>MEIO-FIO RETO DE CONCRETO SIMPLES FCK=15MPA, PRE-MOLDADO, TIPODER-RJ, MEDINDO 0,15M NA BASE E COM ALTURA DE 0,30M, REJUNTAMENTO COM ARGAMASSA DE CIMENTO E AREIA NO TRACO 1:3,5, COM FORNECIMENTO DE TODOS OS MATERIAIS, ESCAVACAO E REATERRO</t>
  </si>
  <si>
    <t>4.01.03</t>
  </si>
  <si>
    <t>08.020.0008-A</t>
  </si>
  <si>
    <r>
      <rPr>
        <sz val="8"/>
        <rFont val="Arial Narrow"/>
        <family val="2"/>
      </rPr>
      <t xml:space="preserve">PAVIMENTACAO LAJOTAS CONCRETO, ALTAMENTE VIBRADO, INTERTRAVADO, C/ARTICULACAO VERTICAL, PRE-FABRICADOS, </t>
    </r>
    <r>
      <rPr>
        <b/>
        <sz val="8"/>
        <rFont val="Arial Narrow"/>
        <family val="2"/>
      </rPr>
      <t>COR-NATURAL</t>
    </r>
    <r>
      <rPr>
        <sz val="8"/>
        <rFont val="Arial Narrow"/>
        <family val="2"/>
      </rPr>
      <t>, ESP.6CM, RESISTENCIA A COMPRESSAO 35MPA, ASSENTES SOBRE COLCHAO PO-DE-PEDRA, AREIA OU MATERIAL EQUIVALENTE, C/JUNTAS TOMADAS C/ARGAMASSA CIMENTO E AREIA,TRACO 1:4 E/OU C/PEDRISCO E ASFALTO, EXCL.PREPARO TERRENO, C/FORN.DE TODOS OS MAT., BEM COMO A COLOCAC.</t>
    </r>
  </si>
  <si>
    <t>4.01.04</t>
  </si>
  <si>
    <t>08.020.0020-A</t>
  </si>
  <si>
    <r>
      <rPr>
        <sz val="8"/>
        <rFont val="Arial Narrow"/>
        <family val="2"/>
      </rPr>
      <t xml:space="preserve">PAVIMENTACAO LAJOTAS CONCRETO, ALTAMENTE VIBRADO, INTERTRAVADO, C/ARTICULACAO VERTICAL, PRE-FABRICADOS, </t>
    </r>
    <r>
      <rPr>
        <b/>
        <sz val="8"/>
        <rFont val="Arial Narrow"/>
        <family val="2"/>
      </rPr>
      <t>COLORIDO</t>
    </r>
    <r>
      <rPr>
        <sz val="8"/>
        <rFont val="Arial Narrow"/>
        <family val="2"/>
      </rPr>
      <t>, ESP.6CM, RESISTENCIA A COMPRESSAO 35MPA, ASSENTES SOBRE COLCHAO PO-DE-PEDRA, AREIA OU MATERIAL EQUIVALENTE, C/JUNTAS TOMADAS C/ARGAMASSA CIMENTO E AREIA,TRACO 1:4 E/OU PEDRISCO E ASFALTO, EXCL. PREPARO DO TERRENO, C/FORN.DE TODOS OS MAT., BEM COMO A COLOCACAO</t>
    </r>
  </si>
  <si>
    <t>4.01.05</t>
  </si>
  <si>
    <t>20.105.0005-A</t>
  </si>
  <si>
    <t>PINTURA DE MEIO-FIO COM CAL, COM UMA DEMAO</t>
  </si>
  <si>
    <t>5.0</t>
  </si>
  <si>
    <t>PLAYGROUND</t>
  </si>
  <si>
    <t>5.01</t>
  </si>
  <si>
    <t>5.01.01</t>
  </si>
  <si>
    <t>01.005.0003-A</t>
  </si>
  <si>
    <t>PREPARO MANUAL DE TERRENO,COMPREENDENDO ACERTO,RASPAGEM EVENTUALMENTE ATE 0.30M DE PROFUNDIDADE E AFASTAMENTO LATERAL DOMATERIAL EXCEDENTE,INCLUSIVE COMPACTACAO MECANICA</t>
  </si>
  <si>
    <t>5.01.02</t>
  </si>
  <si>
    <t>09.008.0010-A</t>
  </si>
  <si>
    <t>CAMADA DE AREIA ESPALHADA MANUALMENTE,MEDIDA APOS A COMPACTACAO</t>
  </si>
  <si>
    <t>5.01.03</t>
  </si>
  <si>
    <t>04.005.0162-A</t>
  </si>
  <si>
    <t>TRANSPORTE DE CARGA DE QUALQUER NATUREZA, EXCLUSIVE AS DESPESAS DE CARGA E DESCARGA, TANTO DE ESPERA DO CAMINHAO COMO DO SERVENTE OU EQUIPAMENTO AUXILIAR, A VELOCIDADE MEDIA DE 35KM/H, EM CAMINHAO BASCULANTE A OLEO DIESEL, COM CAPACIDADE UTIL DE17T</t>
  </si>
  <si>
    <t>5.01.04</t>
  </si>
  <si>
    <t>05.035.0013-A</t>
  </si>
  <si>
    <t>CERCA DE SARRAFOS VERTICAIS DE MADEIRA DE LEI,2X4CM, E 120CM DE ALTURA, PREGADOS SOBRE SARRAFOS HORIZONTAIS DE 5X5CM, A CADA 8CM, CENTRO A CENTRO, APOIADOS SOBRE MONTANTES DE 7,5X7,5CM, ESPACADOS DE 2,00M. FORNECIMENTO E COLOCACAO</t>
  </si>
  <si>
    <t>5.01.05</t>
  </si>
  <si>
    <t>17.017.0110-A</t>
  </si>
  <si>
    <t>PINTURA INTERNA OU EXTERNA SOBRE MADEIRA, COM TINTA A OLEO BRILHANTE OU ACETINADA, LIXAMENTO, UMA DEMAO DE VERNIZ ISOLANTE INCOLOR, DUAS DEMAOS DE MASSA PARA MADEIRA, LIXAMENTO E REMOCAO DE PO, UMA DEMAO DE FUNDO SINTETICO NIVELADOR E DUAS DEMAOS DE ACABAMENTO</t>
  </si>
  <si>
    <t>5.01.06</t>
  </si>
  <si>
    <t>09.015.0324-A</t>
  </si>
  <si>
    <t>ESCORREGA DE 5/10ANOS C/ALTURA DE 1,57M MADEIRA APARELHADA E TUBOS DE FERRO GALVANIZADO(EXT.E INTERNAMENTE)DE 3/4" E 2"E ESPESSURA DE PAREDE DE 1/8", COM PINTURA DE BASE GALVITE E 2 DEMAOS DE ACABAMENTO. FORNECIMENTO E COLOCACAO</t>
  </si>
  <si>
    <t>5.01.07</t>
  </si>
  <si>
    <t>09.015.0314-A</t>
  </si>
  <si>
    <t>BALANCO DE 5/10ANOS COMPOST. C/2 CADEIRAS, PRESAS EM CORRENTES GALV.FIXAD. P/MEIO DE BRACAD. C/ TRAVESSAO TUBOS FERRO GALV. (EXT.E INTERNAMENTE)DE 2 1/2"E ESP. PAREDE 1/8", SUSPENSAS EM CAVALETES TUBO FERRO GALV.2", CHUMBADOS EM SAPATAS CONCRETO,PINTADOS C/BASE GALVITE E 2 DEMAOS ACABAMENTO. FORNECIMENTO ECOLOCACAO</t>
  </si>
  <si>
    <t>5.01.08</t>
  </si>
  <si>
    <t>09.015.0330-A</t>
  </si>
  <si>
    <t>GANGORRA DE 5/10ANOS C/2 PRANCHAS, MADEIRA APARELHADA, ESTAS FIXADAS EM TUBO DE FERRO GALVANIZADO(EXT.E INTERNAMENTE) DE2"E 2 1/2" E ESPESSURA DE PAREDE DE 1/8", COM PINTURA DE BASE GALVITE E 2 DEMAOS DE ACABAMENTO. FORNECIMENTO E COLOCACAO</t>
  </si>
  <si>
    <t>6.0</t>
  </si>
  <si>
    <t>PAISAGISMO E MOBILIÁRIO</t>
  </si>
  <si>
    <t>6.01</t>
  </si>
  <si>
    <t>6.01.01</t>
  </si>
  <si>
    <t>09.006.0030-A</t>
  </si>
  <si>
    <t>ATERRO COM TERRA PRETA VEGETAL,PARA EXECUCAO DE GRAMADOS</t>
  </si>
  <si>
    <t>6.01.02</t>
  </si>
  <si>
    <t>09.001.0020-A</t>
  </si>
  <si>
    <t>PLANTIO DE GRAMA EM PLACAS TIPO ESMERALDA, INCLUSIVE FORNECIMENTO DA GRAMA E TRANSPORTE, EXCLUSIVE PREPARO DO TERRENO E O MATERIAL PARA ESTE</t>
  </si>
  <si>
    <t>6.01.03</t>
  </si>
  <si>
    <t>09.013.0002-A</t>
  </si>
  <si>
    <t>BANCO PARA JARDINS COM 14 REGUAS DE MADEIRA DE LEI, SECAO DE 5,5X2,5CM E COMPRIMENTO DE 2,00M, PRESAS COM PARAFUSOS DE PORCAS NOS PES DE FERRO FUNDIDO, ESTES COM 14KG, BARRA DE FERRO AO CENTRO DO ASSENTAMENTO, INCLUSIVE ESPIGAO DE FIXACAO, 4 BASES DE CONCRETO DE 15X15X30CM, E PINTURA NA COR A SER INDICADA</t>
  </si>
  <si>
    <t>6.01.04</t>
  </si>
  <si>
    <t>09.026.0025-A</t>
  </si>
  <si>
    <t>PAPELEIRA PLASTICA P/VIAS E PRACAS PUBLICAS EM POLIETILENO(DIN), CAPACIDADE PARA 50L, MEDINDO(75,50X34,50X43,50)CM. FORNECIMENTO E COLOCACAO</t>
  </si>
  <si>
    <t>6.01.05</t>
  </si>
  <si>
    <t>6.01.06</t>
  </si>
  <si>
    <t>6.01.07</t>
  </si>
  <si>
    <t>09.003.0156-A</t>
  </si>
  <si>
    <t>ESPECIES VEGETAIS COM ALTURA DE (0,40 A 1,50)M, TIPO ARUNDINABAMBUSIFOLIA (ORQUIDEA BAMBU), JATROPHA PODAGRICA (BATATA DO INFERNO), STRELITZIA REGINAE (FLOR AVE DO PARAISO), HELICONIA ANGUSTA (FALSA AVE DO PARAISO) OU SIMILAR E CONSIDERANDO 8 MUDAS POR M2. FORNECIMENTO</t>
  </si>
  <si>
    <t>6.01.08</t>
  </si>
  <si>
    <t>09.003.0076-A</t>
  </si>
  <si>
    <t>ESPECIES VEGETAIS COM ALTURA DE (2,50 A 3,50)M,TIPO PALMEIRASYAGRUS ROMANZOFFIANA (BABA-DE-BOI/GERIVA),AIPHANES CARYOTIFOLIA (PALMEIRA"SPINE"),LIVISTONIA CHINENSIS (LEQUE DA CHINA/FALSA LATANIA),RHAPIS EXCELSA(PALMEIRA RAFIA),ROYSTONEA OLERACEA (PALMEIRA REAL) OU SIMILAR.FORNECIMENTO</t>
  </si>
  <si>
    <t>SUB-TOTAL:</t>
  </si>
  <si>
    <t>TOTAL DO ORÇAMENTO:</t>
  </si>
  <si>
    <t>CRONOGRAMA DE EXECUÇÃO</t>
  </si>
  <si>
    <t>ITEM  / DESCRIÇÃO</t>
  </si>
  <si>
    <t>DIAS</t>
  </si>
  <si>
    <t xml:space="preserve">SANITÁRIOS </t>
  </si>
  <si>
    <t>CAMPO SOCIETY</t>
  </si>
  <si>
    <t>CRONOGRAMA FÍSICO-FINANCEIRO</t>
  </si>
  <si>
    <t>ITEM</t>
  </si>
  <si>
    <t>$ Parcial sem B.D.I.</t>
  </si>
  <si>
    <t>$ Parcial com B.D.I.</t>
  </si>
  <si>
    <t>% MEDIÇÃO</t>
  </si>
  <si>
    <t>VALORES CORRESPONDENTES</t>
  </si>
  <si>
    <t>S</t>
  </si>
  <si>
    <t>CRONOGRAMA DE DESEMBOLSO MÁXIMO ESTIMADO</t>
  </si>
  <si>
    <t>30 DIAS</t>
  </si>
  <si>
    <t>60 DIAS</t>
  </si>
  <si>
    <t>90 DIAS</t>
  </si>
  <si>
    <t>120 DIAS</t>
  </si>
  <si>
    <t>TOTAL</t>
  </si>
  <si>
    <t>APÓS A DATA DE AUTORIZAÇÃO DE INÍCIO DOS SERVIÇOS</t>
  </si>
</sst>
</file>

<file path=xl/styles.xml><?xml version="1.0" encoding="utf-8"?>
<styleSheet xmlns="http://schemas.openxmlformats.org/spreadsheetml/2006/main">
  <numFmts count="15">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 &quot;#,##0.00"/>
    <numFmt numFmtId="165" formatCode="&quot;BENEFICIO E DESPESAS INDIRETAS -B.D.I. (&quot;0.00&quot;%):&quot;"/>
    <numFmt numFmtId="166" formatCode="&quot;&quot;0&quot; dias&quot;"/>
    <numFmt numFmtId="167" formatCode="&quot;R$&quot;#,##0.00"/>
    <numFmt numFmtId="168" formatCode="&quot;R$ &quot;#,##0.000"/>
    <numFmt numFmtId="169" formatCode="&quot;R$&quot;#,##0.00_);[Red]&quot;(R$&quot;#,##0.00\)"/>
    <numFmt numFmtId="170" formatCode="&quot;R$ &quot;#,##0.00;[Red]&quot;R$ &quot;#,##0.00"/>
  </numFmts>
  <fonts count="41">
    <font>
      <sz val="10"/>
      <color indexed="8"/>
      <name val="Arial"/>
      <family val="0"/>
    </font>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Arial Narrow"/>
      <family val="2"/>
    </font>
    <font>
      <b/>
      <u val="single"/>
      <sz val="20"/>
      <name val="Arial Narrow"/>
      <family val="2"/>
    </font>
    <font>
      <b/>
      <sz val="8"/>
      <name val="Arial Narrow"/>
      <family val="2"/>
    </font>
    <font>
      <b/>
      <u val="single"/>
      <sz val="10"/>
      <name val="Arial Narrow"/>
      <family val="2"/>
    </font>
    <font>
      <sz val="10"/>
      <name val="Calibri"/>
      <family val="2"/>
    </font>
    <font>
      <b/>
      <sz val="12"/>
      <name val="Arial Narrow"/>
      <family val="2"/>
    </font>
    <font>
      <b/>
      <sz val="12"/>
      <name val="Calibri"/>
      <family val="2"/>
    </font>
    <font>
      <sz val="12"/>
      <name val="Calibri"/>
      <family val="2"/>
    </font>
    <font>
      <b/>
      <sz val="10"/>
      <color indexed="8"/>
      <name val="Arial Narrow"/>
      <family val="2"/>
    </font>
    <font>
      <b/>
      <u val="single"/>
      <sz val="12"/>
      <name val="Arial Narrow"/>
      <family val="2"/>
    </font>
    <font>
      <b/>
      <sz val="8.5"/>
      <name val="Arial Narrow"/>
      <family val="2"/>
    </font>
    <font>
      <sz val="7"/>
      <name val="Arial Narrow"/>
      <family val="2"/>
    </font>
    <font>
      <b/>
      <sz val="7"/>
      <name val="Arial Narrow"/>
      <family val="2"/>
    </font>
    <font>
      <sz val="8"/>
      <color indexed="48"/>
      <name val="Arial Narrow"/>
      <family val="2"/>
    </font>
    <font>
      <sz val="8"/>
      <color indexed="9"/>
      <name val="Arial Narrow"/>
      <family val="2"/>
    </font>
    <font>
      <sz val="7"/>
      <color indexed="8"/>
      <name val="Arial"/>
      <family val="2"/>
    </font>
    <font>
      <sz val="14"/>
      <name val="Arial Narrow"/>
      <family val="2"/>
    </font>
    <font>
      <sz val="18"/>
      <name val="Arial Narrow"/>
      <family val="2"/>
    </font>
    <font>
      <sz val="12"/>
      <name val="Arial Narrow"/>
      <family val="2"/>
    </font>
    <font>
      <b/>
      <sz val="12"/>
      <color indexed="8"/>
      <name val="Arial Narrow"/>
      <family val="2"/>
    </font>
    <font>
      <sz val="10"/>
      <name val="Arial Narrow"/>
      <family val="2"/>
    </font>
    <font>
      <b/>
      <sz val="10"/>
      <name val="Arial Narrow"/>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2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thin">
        <color indexed="8"/>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hair">
        <color indexed="22"/>
      </top>
      <bottom style="hair">
        <color indexed="22"/>
      </bottom>
    </border>
    <border>
      <left>
        <color indexed="63"/>
      </left>
      <right>
        <color indexed="63"/>
      </right>
      <top style="medium">
        <color indexed="8"/>
      </top>
      <bottom style="thin">
        <color indexed="8"/>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hair">
        <color indexed="22"/>
      </top>
      <bottom style="thin">
        <color indexed="8"/>
      </bottom>
    </border>
    <border>
      <left>
        <color indexed="63"/>
      </left>
      <right>
        <color indexed="63"/>
      </right>
      <top style="hair">
        <color indexed="22"/>
      </top>
      <bottom style="medium">
        <color indexed="8"/>
      </bottom>
    </border>
    <border>
      <left>
        <color indexed="63"/>
      </left>
      <right>
        <color indexed="63"/>
      </right>
      <top style="thin">
        <color indexed="8"/>
      </top>
      <bottom style="double">
        <color indexed="8"/>
      </bottom>
    </border>
    <border>
      <left style="hair">
        <color indexed="8"/>
      </left>
      <right style="hair">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hair">
        <color indexed="8"/>
      </left>
      <right style="hair">
        <color indexed="8"/>
      </right>
      <top>
        <color indexed="63"/>
      </top>
      <bottom>
        <color indexed="63"/>
      </bottom>
    </border>
    <border>
      <left>
        <color indexed="63"/>
      </left>
      <right style="medium">
        <color indexed="8"/>
      </right>
      <top>
        <color indexed="63"/>
      </top>
      <bottom>
        <color indexed="63"/>
      </bottom>
    </border>
    <border>
      <left style="hair">
        <color indexed="8"/>
      </left>
      <right>
        <color indexed="63"/>
      </right>
      <top>
        <color indexed="63"/>
      </top>
      <bottom>
        <color indexed="63"/>
      </bottom>
    </border>
    <border>
      <left style="medium">
        <color indexed="8"/>
      </left>
      <right style="hair">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style="hair">
        <color indexed="8"/>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1" borderId="0" applyNumberFormat="0" applyBorder="0" applyAlignment="0" applyProtection="0"/>
    <xf numFmtId="0" fontId="5" fillId="2" borderId="1" applyNumberFormat="0" applyAlignment="0" applyProtection="0"/>
    <xf numFmtId="0" fontId="6" fillId="12" borderId="2" applyNumberFormat="0" applyAlignment="0" applyProtection="0"/>
    <xf numFmtId="0" fontId="7" fillId="0" borderId="3" applyNumberFormat="0" applyFill="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6" borderId="0" applyNumberFormat="0" applyBorder="0" applyAlignment="0" applyProtection="0"/>
    <xf numFmtId="0" fontId="8" fillId="3" borderId="1" applyNumberFormat="0" applyAlignment="0" applyProtection="0"/>
    <xf numFmtId="0" fontId="9" fillId="17" borderId="0" applyNumberFormat="0" applyBorder="0" applyAlignment="0" applyProtection="0"/>
    <xf numFmtId="44" fontId="1" fillId="0" borderId="0" applyFill="0" applyBorder="0" applyAlignment="0" applyProtection="0"/>
    <xf numFmtId="0" fontId="0" fillId="0" borderId="0" applyFill="0" applyBorder="0" applyAlignment="0" applyProtection="0"/>
    <xf numFmtId="0" fontId="10" fillId="8" borderId="0" applyNumberFormat="0" applyBorder="0" applyAlignment="0" applyProtection="0"/>
    <xf numFmtId="0" fontId="1" fillId="0" borderId="0">
      <alignment/>
      <protection/>
    </xf>
    <xf numFmtId="0" fontId="0"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1" fillId="0" borderId="0">
      <alignment/>
      <protection/>
    </xf>
    <xf numFmtId="0" fontId="0" fillId="4" borderId="4" applyNumberFormat="0" applyAlignment="0" applyProtection="0"/>
    <xf numFmtId="9" fontId="1" fillId="0" borderId="0" applyFill="0" applyBorder="0" applyAlignment="0" applyProtection="0"/>
    <xf numFmtId="0" fontId="11" fillId="2" borderId="5" applyNumberFormat="0" applyAlignment="0" applyProtection="0"/>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4" fillId="0" borderId="9" applyNumberFormat="0" applyFill="0" applyAlignment="0" applyProtection="0"/>
  </cellStyleXfs>
  <cellXfs count="226">
    <xf numFmtId="0" fontId="0" fillId="0" borderId="0" xfId="0" applyAlignment="1">
      <alignment/>
    </xf>
    <xf numFmtId="0" fontId="19" fillId="2" borderId="0" xfId="0" applyFont="1" applyFill="1" applyAlignment="1">
      <alignment/>
    </xf>
    <xf numFmtId="0" fontId="19" fillId="2" borderId="0" xfId="0" applyFont="1" applyFill="1" applyAlignment="1">
      <alignment horizontal="center"/>
    </xf>
    <xf numFmtId="0" fontId="19" fillId="2" borderId="0" xfId="0" applyFont="1" applyFill="1" applyBorder="1" applyAlignment="1">
      <alignment/>
    </xf>
    <xf numFmtId="0" fontId="19" fillId="0" borderId="0" xfId="0" applyFont="1" applyFill="1" applyAlignment="1" applyProtection="1">
      <alignment vertical="top"/>
      <protection locked="0"/>
    </xf>
    <xf numFmtId="0" fontId="20" fillId="2" borderId="0" xfId="0" applyFont="1" applyFill="1" applyBorder="1" applyAlignment="1">
      <alignment horizontal="center" vertical="center" wrapText="1"/>
    </xf>
    <xf numFmtId="0" fontId="21" fillId="2" borderId="0" xfId="46" applyFont="1" applyFill="1" applyBorder="1" applyAlignment="1" applyProtection="1">
      <alignment horizontal="center" vertical="center"/>
      <protection/>
    </xf>
    <xf numFmtId="49" fontId="19" fillId="2" borderId="0" xfId="46" applyNumberFormat="1" applyFont="1" applyFill="1" applyBorder="1" applyAlignment="1" applyProtection="1">
      <alignment horizontal="center" vertical="center"/>
      <protection/>
    </xf>
    <xf numFmtId="0" fontId="19" fillId="2" borderId="0" xfId="0" applyFont="1" applyFill="1" applyAlignment="1" applyProtection="1">
      <alignment horizontal="center" vertical="top"/>
      <protection locked="0"/>
    </xf>
    <xf numFmtId="0" fontId="19" fillId="2" borderId="0" xfId="0" applyFont="1" applyFill="1" applyBorder="1" applyAlignment="1" applyProtection="1">
      <alignment horizontal="center" vertical="top"/>
      <protection locked="0"/>
    </xf>
    <xf numFmtId="0" fontId="19" fillId="0" borderId="0" xfId="46" applyFont="1" applyFill="1" applyBorder="1" applyAlignment="1" applyProtection="1">
      <alignment vertical="center"/>
      <protection/>
    </xf>
    <xf numFmtId="0" fontId="19" fillId="2" borderId="0" xfId="46" applyFont="1" applyFill="1" applyBorder="1" applyAlignment="1" applyProtection="1">
      <alignment vertical="center"/>
      <protection/>
    </xf>
    <xf numFmtId="0" fontId="19" fillId="2" borderId="0" xfId="0" applyFont="1" applyFill="1" applyBorder="1" applyAlignment="1">
      <alignment horizontal="center"/>
    </xf>
    <xf numFmtId="0" fontId="19" fillId="0" borderId="0" xfId="0" applyFont="1" applyFill="1" applyAlignment="1">
      <alignment/>
    </xf>
    <xf numFmtId="0" fontId="22" fillId="2" borderId="0" xfId="0" applyFont="1" applyFill="1" applyBorder="1" applyAlignment="1">
      <alignment horizontal="center" vertical="center" wrapText="1"/>
    </xf>
    <xf numFmtId="0" fontId="19" fillId="2" borderId="0" xfId="0" applyFont="1" applyFill="1" applyBorder="1" applyAlignment="1" applyProtection="1">
      <alignment horizontal="right" vertical="top"/>
      <protection locked="0"/>
    </xf>
    <xf numFmtId="0" fontId="19" fillId="2" borderId="10" xfId="0" applyFont="1" applyFill="1" applyBorder="1" applyAlignment="1" applyProtection="1">
      <alignment horizontal="center" vertical="center"/>
      <protection locked="0"/>
    </xf>
    <xf numFmtId="0" fontId="19" fillId="2" borderId="10" xfId="0" applyFont="1" applyFill="1" applyBorder="1" applyAlignment="1" applyProtection="1">
      <alignment horizontal="left" vertical="center"/>
      <protection locked="0"/>
    </xf>
    <xf numFmtId="0" fontId="19" fillId="2" borderId="0" xfId="0" applyFont="1" applyFill="1" applyBorder="1" applyAlignment="1" applyProtection="1">
      <alignment horizontal="center" vertical="center"/>
      <protection locked="0"/>
    </xf>
    <xf numFmtId="0" fontId="19" fillId="2" borderId="11" xfId="0" applyFont="1" applyFill="1" applyBorder="1" applyAlignment="1" applyProtection="1">
      <alignment horizontal="center" vertical="center"/>
      <protection locked="0"/>
    </xf>
    <xf numFmtId="0" fontId="19" fillId="2" borderId="11" xfId="0" applyFont="1" applyFill="1" applyBorder="1" applyAlignment="1" applyProtection="1">
      <alignment horizontal="left" vertical="center"/>
      <protection locked="0"/>
    </xf>
    <xf numFmtId="0" fontId="21" fillId="8" borderId="12" xfId="0" applyFont="1" applyFill="1" applyBorder="1" applyAlignment="1" applyProtection="1">
      <alignment horizontal="center" vertical="center"/>
      <protection locked="0"/>
    </xf>
    <xf numFmtId="0" fontId="21" fillId="8" borderId="13" xfId="0" applyFont="1" applyFill="1" applyBorder="1" applyAlignment="1" applyProtection="1">
      <alignment horizontal="center" vertical="center"/>
      <protection locked="0"/>
    </xf>
    <xf numFmtId="0" fontId="21" fillId="8" borderId="13" xfId="0" applyFont="1" applyFill="1" applyBorder="1" applyAlignment="1" applyProtection="1">
      <alignment horizontal="left" vertical="center" wrapText="1"/>
      <protection locked="0"/>
    </xf>
    <xf numFmtId="4" fontId="21" fillId="8" borderId="14" xfId="0" applyNumberFormat="1"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0" borderId="0" xfId="0" applyFont="1" applyFill="1" applyAlignment="1" applyProtection="1">
      <alignment vertical="top"/>
      <protection locked="0"/>
    </xf>
    <xf numFmtId="4" fontId="21" fillId="0" borderId="0" xfId="0" applyNumberFormat="1" applyFont="1" applyFill="1" applyAlignment="1" applyProtection="1">
      <alignment vertical="top"/>
      <protection locked="0"/>
    </xf>
    <xf numFmtId="0" fontId="19" fillId="2" borderId="0" xfId="0" applyFont="1" applyFill="1" applyBorder="1" applyAlignment="1" applyProtection="1">
      <alignment horizontal="left" vertical="center" wrapText="1"/>
      <protection locked="0"/>
    </xf>
    <xf numFmtId="0" fontId="19" fillId="2" borderId="15" xfId="0" applyFont="1" applyFill="1" applyBorder="1" applyAlignment="1" applyProtection="1">
      <alignment horizontal="center" vertical="center"/>
      <protection locked="0"/>
    </xf>
    <xf numFmtId="0" fontId="19" fillId="2" borderId="15" xfId="0" applyFont="1" applyFill="1" applyBorder="1" applyAlignment="1" applyProtection="1">
      <alignment horizontal="left" vertical="center" wrapText="1"/>
      <protection locked="0"/>
    </xf>
    <xf numFmtId="4" fontId="19" fillId="2" borderId="15" xfId="0" applyNumberFormat="1" applyFont="1" applyFill="1" applyBorder="1" applyAlignment="1" applyProtection="1">
      <alignment horizontal="center" vertical="center"/>
      <protection locked="0"/>
    </xf>
    <xf numFmtId="0" fontId="19" fillId="2" borderId="0" xfId="0" applyFont="1" applyFill="1" applyAlignment="1" applyProtection="1">
      <alignment vertical="top"/>
      <protection locked="0"/>
    </xf>
    <xf numFmtId="0" fontId="19" fillId="2" borderId="15" xfId="0" applyFont="1" applyFill="1" applyBorder="1" applyAlignment="1">
      <alignment vertical="center"/>
    </xf>
    <xf numFmtId="0" fontId="19" fillId="2" borderId="15" xfId="0" applyFont="1" applyFill="1" applyBorder="1" applyAlignment="1">
      <alignment vertical="center" wrapText="1"/>
    </xf>
    <xf numFmtId="0" fontId="19" fillId="2" borderId="15" xfId="0" applyFont="1" applyFill="1" applyBorder="1" applyAlignment="1">
      <alignment horizontal="center" vertical="center"/>
    </xf>
    <xf numFmtId="0" fontId="19" fillId="2" borderId="11" xfId="0" applyFont="1" applyFill="1" applyBorder="1" applyAlignment="1" applyProtection="1">
      <alignment horizontal="left" vertical="center" wrapText="1"/>
      <protection locked="0"/>
    </xf>
    <xf numFmtId="4" fontId="19" fillId="2" borderId="11" xfId="0" applyNumberFormat="1" applyFont="1" applyFill="1" applyBorder="1" applyAlignment="1" applyProtection="1">
      <alignment horizontal="center" vertical="center"/>
      <protection locked="0"/>
    </xf>
    <xf numFmtId="0" fontId="21" fillId="8" borderId="13" xfId="0" applyFont="1" applyFill="1" applyBorder="1" applyAlignment="1" applyProtection="1">
      <alignment horizontal="left" vertical="center"/>
      <protection locked="0"/>
    </xf>
    <xf numFmtId="4" fontId="21" fillId="8" borderId="13" xfId="0" applyNumberFormat="1" applyFont="1" applyFill="1" applyBorder="1" applyAlignment="1" applyProtection="1">
      <alignment horizontal="center" vertical="center"/>
      <protection locked="0"/>
    </xf>
    <xf numFmtId="0" fontId="19" fillId="6" borderId="16" xfId="0" applyFont="1" applyFill="1" applyBorder="1" applyAlignment="1" applyProtection="1">
      <alignment horizontal="center" vertical="center"/>
      <protection locked="0"/>
    </xf>
    <xf numFmtId="0" fontId="19" fillId="6" borderId="16" xfId="0" applyFont="1" applyFill="1" applyBorder="1" applyAlignment="1" applyProtection="1">
      <alignment horizontal="left" vertical="center" wrapText="1"/>
      <protection locked="0"/>
    </xf>
    <xf numFmtId="4" fontId="19" fillId="6" borderId="16"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wrapText="1"/>
      <protection locked="0"/>
    </xf>
    <xf numFmtId="4" fontId="19" fillId="0" borderId="0" xfId="0" applyNumberFormat="1" applyFont="1" applyFill="1" applyBorder="1" applyAlignment="1" applyProtection="1">
      <alignment horizontal="center" vertical="center"/>
      <protection locked="0"/>
    </xf>
    <xf numFmtId="0" fontId="19" fillId="2" borderId="17" xfId="0" applyFont="1" applyFill="1" applyBorder="1" applyAlignment="1" applyProtection="1">
      <alignment horizontal="center" vertical="center"/>
      <protection locked="0"/>
    </xf>
    <xf numFmtId="0" fontId="19" fillId="2" borderId="15"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protection locked="0"/>
    </xf>
    <xf numFmtId="0" fontId="19" fillId="0" borderId="18" xfId="0" applyFont="1" applyFill="1" applyBorder="1" applyAlignment="1" applyProtection="1">
      <alignment horizontal="left" vertical="center" wrapText="1"/>
      <protection locked="0"/>
    </xf>
    <xf numFmtId="4" fontId="19" fillId="0" borderId="18" xfId="0" applyNumberFormat="1" applyFont="1" applyFill="1" applyBorder="1" applyAlignment="1" applyProtection="1">
      <alignment horizontal="center" vertical="center"/>
      <protection locked="0"/>
    </xf>
    <xf numFmtId="4" fontId="19" fillId="2" borderId="18" xfId="0" applyNumberFormat="1" applyFont="1" applyFill="1" applyBorder="1" applyAlignment="1" applyProtection="1">
      <alignment horizontal="center" vertical="center"/>
      <protection locked="0"/>
    </xf>
    <xf numFmtId="0" fontId="19" fillId="6" borderId="19" xfId="0" applyFont="1" applyFill="1" applyBorder="1" applyAlignment="1" applyProtection="1">
      <alignment horizontal="center" vertical="center"/>
      <protection locked="0"/>
    </xf>
    <xf numFmtId="0" fontId="19" fillId="6" borderId="19" xfId="0" applyFont="1" applyFill="1" applyBorder="1" applyAlignment="1" applyProtection="1">
      <alignment horizontal="left" vertical="center" wrapText="1"/>
      <protection locked="0"/>
    </xf>
    <xf numFmtId="4" fontId="19" fillId="6" borderId="19" xfId="0" applyNumberFormat="1" applyFont="1" applyFill="1" applyBorder="1" applyAlignment="1" applyProtection="1">
      <alignment horizontal="center" vertical="center"/>
      <protection locked="0"/>
    </xf>
    <xf numFmtId="4" fontId="19" fillId="2" borderId="0" xfId="0" applyNumberFormat="1" applyFont="1" applyFill="1" applyBorder="1" applyAlignment="1" applyProtection="1">
      <alignment horizontal="center" vertical="center"/>
      <protection locked="0"/>
    </xf>
    <xf numFmtId="0" fontId="19" fillId="2" borderId="17" xfId="0" applyFont="1" applyFill="1" applyBorder="1" applyAlignment="1" applyProtection="1">
      <alignment horizontal="left" vertical="center" wrapText="1"/>
      <protection locked="0"/>
    </xf>
    <xf numFmtId="0" fontId="19" fillId="2" borderId="18" xfId="0" applyFont="1" applyFill="1" applyBorder="1" applyAlignment="1" applyProtection="1">
      <alignment horizontal="left" vertical="center" wrapText="1"/>
      <protection locked="0"/>
    </xf>
    <xf numFmtId="4" fontId="19" fillId="2" borderId="17" xfId="0" applyNumberFormat="1" applyFont="1" applyFill="1" applyBorder="1" applyAlignment="1" applyProtection="1">
      <alignment horizontal="center" vertical="center"/>
      <protection locked="0"/>
    </xf>
    <xf numFmtId="3" fontId="19" fillId="2" borderId="15" xfId="0" applyNumberFormat="1" applyFont="1" applyFill="1" applyBorder="1" applyAlignment="1" applyProtection="1">
      <alignment horizontal="center" vertical="center"/>
      <protection locked="0"/>
    </xf>
    <xf numFmtId="0" fontId="19" fillId="2" borderId="0" xfId="0" applyFont="1" applyFill="1" applyAlignment="1" applyProtection="1">
      <alignment horizontal="center" vertical="center" wrapText="1"/>
      <protection locked="0"/>
    </xf>
    <xf numFmtId="4" fontId="19" fillId="2" borderId="0" xfId="0" applyNumberFormat="1" applyFont="1" applyFill="1" applyAlignment="1" applyProtection="1">
      <alignment horizontal="center" vertical="center" wrapText="1"/>
      <protection locked="0"/>
    </xf>
    <xf numFmtId="0" fontId="21" fillId="8" borderId="11" xfId="0" applyFont="1" applyFill="1" applyBorder="1" applyAlignment="1" applyProtection="1">
      <alignment horizontal="center" vertical="center"/>
      <protection locked="0"/>
    </xf>
    <xf numFmtId="0" fontId="21" fillId="8" borderId="11" xfId="0" applyFont="1" applyFill="1" applyBorder="1" applyAlignment="1" applyProtection="1">
      <alignment horizontal="left" vertical="center"/>
      <protection locked="0"/>
    </xf>
    <xf numFmtId="4" fontId="21" fillId="8" borderId="11" xfId="0" applyNumberFormat="1" applyFont="1" applyFill="1" applyBorder="1" applyAlignment="1" applyProtection="1">
      <alignment horizontal="center" vertical="center"/>
      <protection locked="0"/>
    </xf>
    <xf numFmtId="0" fontId="19" fillId="6" borderId="20" xfId="0" applyFont="1" applyFill="1" applyBorder="1" applyAlignment="1" applyProtection="1">
      <alignment horizontal="center" vertical="center"/>
      <protection locked="0"/>
    </xf>
    <xf numFmtId="0" fontId="19" fillId="6" borderId="20" xfId="0" applyFont="1" applyFill="1" applyBorder="1" applyAlignment="1" applyProtection="1">
      <alignment horizontal="left" vertical="center" wrapText="1"/>
      <protection locked="0"/>
    </xf>
    <xf numFmtId="4" fontId="19" fillId="6" borderId="20" xfId="0" applyNumberFormat="1"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wrapText="1"/>
      <protection locked="0"/>
    </xf>
    <xf numFmtId="4" fontId="19" fillId="0" borderId="15" xfId="0" applyNumberFormat="1" applyFont="1" applyFill="1" applyBorder="1" applyAlignment="1" applyProtection="1">
      <alignment horizontal="center" vertical="center"/>
      <protection locked="0"/>
    </xf>
    <xf numFmtId="0" fontId="19" fillId="2" borderId="20" xfId="0" applyFont="1" applyFill="1" applyBorder="1" applyAlignment="1">
      <alignment/>
    </xf>
    <xf numFmtId="0" fontId="19" fillId="2" borderId="20" xfId="0" applyFont="1" applyFill="1" applyBorder="1" applyAlignment="1">
      <alignment horizontal="center"/>
    </xf>
    <xf numFmtId="0" fontId="19" fillId="2" borderId="21" xfId="0" applyFont="1" applyFill="1" applyBorder="1" applyAlignment="1" applyProtection="1">
      <alignment horizontal="center" vertical="center"/>
      <protection locked="0"/>
    </xf>
    <xf numFmtId="0" fontId="19" fillId="2" borderId="21" xfId="0" applyFont="1" applyFill="1" applyBorder="1" applyAlignment="1" applyProtection="1">
      <alignment horizontal="left" vertical="center" wrapText="1"/>
      <protection locked="0"/>
    </xf>
    <xf numFmtId="4" fontId="19" fillId="2" borderId="21" xfId="0" applyNumberFormat="1" applyFont="1" applyFill="1" applyBorder="1" applyAlignment="1" applyProtection="1">
      <alignment horizontal="center" vertical="center"/>
      <protection locked="0"/>
    </xf>
    <xf numFmtId="4" fontId="19" fillId="2" borderId="15" xfId="49" applyNumberFormat="1" applyFont="1" applyFill="1" applyBorder="1" applyAlignment="1" applyProtection="1">
      <alignment horizontal="center" vertical="center"/>
      <protection locked="0"/>
    </xf>
    <xf numFmtId="0" fontId="19" fillId="2" borderId="0" xfId="0" applyFont="1" applyFill="1" applyAlignment="1">
      <alignment horizontal="center" vertical="center" wrapText="1"/>
    </xf>
    <xf numFmtId="0" fontId="19" fillId="0" borderId="15"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center" vertical="center"/>
      <protection locked="0"/>
    </xf>
    <xf numFmtId="0" fontId="19" fillId="2" borderId="22" xfId="0" applyFont="1" applyFill="1" applyBorder="1" applyAlignment="1" applyProtection="1">
      <alignment horizontal="center" vertical="center"/>
      <protection locked="0"/>
    </xf>
    <xf numFmtId="0" fontId="19" fillId="2" borderId="22" xfId="0" applyFont="1" applyFill="1" applyBorder="1" applyAlignment="1" applyProtection="1">
      <alignment horizontal="left" vertical="center" wrapText="1"/>
      <protection locked="0"/>
    </xf>
    <xf numFmtId="4" fontId="19" fillId="2" borderId="22" xfId="0" applyNumberFormat="1" applyFont="1" applyFill="1" applyBorder="1" applyAlignment="1" applyProtection="1">
      <alignment horizontal="center" vertical="center"/>
      <protection locked="0"/>
    </xf>
    <xf numFmtId="0" fontId="21" fillId="0" borderId="0" xfId="0" applyFont="1" applyFill="1" applyAlignment="1" applyProtection="1">
      <alignment vertical="center"/>
      <protection locked="0"/>
    </xf>
    <xf numFmtId="0" fontId="19" fillId="2" borderId="11" xfId="0" applyFont="1" applyFill="1" applyBorder="1" applyAlignment="1">
      <alignment/>
    </xf>
    <xf numFmtId="0" fontId="19" fillId="2" borderId="11" xfId="0" applyFont="1" applyFill="1" applyBorder="1" applyAlignment="1">
      <alignment horizontal="center"/>
    </xf>
    <xf numFmtId="0" fontId="19" fillId="2" borderId="0" xfId="49" applyNumberFormat="1" applyFont="1" applyFill="1" applyBorder="1" applyAlignment="1" applyProtection="1">
      <alignment vertical="center"/>
      <protection locked="0"/>
    </xf>
    <xf numFmtId="0" fontId="19" fillId="2" borderId="0" xfId="49" applyNumberFormat="1" applyFont="1" applyFill="1" applyBorder="1" applyAlignment="1" applyProtection="1">
      <alignment horizontal="center" vertical="center"/>
      <protection locked="0"/>
    </xf>
    <xf numFmtId="0" fontId="19" fillId="2" borderId="0" xfId="48" applyFont="1" applyFill="1" applyBorder="1" applyAlignment="1">
      <alignment horizontal="right" vertical="center"/>
      <protection/>
    </xf>
    <xf numFmtId="164" fontId="19" fillId="2" borderId="0" xfId="48" applyNumberFormat="1" applyFont="1" applyFill="1" applyBorder="1" applyAlignment="1">
      <alignment horizontal="right" vertical="center"/>
      <protection/>
    </xf>
    <xf numFmtId="164" fontId="19" fillId="2" borderId="0" xfId="49" applyNumberFormat="1" applyFont="1" applyFill="1" applyBorder="1" applyAlignment="1" applyProtection="1">
      <alignment horizontal="center" vertical="center"/>
      <protection locked="0"/>
    </xf>
    <xf numFmtId="164" fontId="23" fillId="2" borderId="0" xfId="49" applyNumberFormat="1" applyFont="1" applyFill="1" applyBorder="1" applyAlignment="1" applyProtection="1">
      <alignment horizontal="center" vertical="center"/>
      <protection locked="0"/>
    </xf>
    <xf numFmtId="0" fontId="23" fillId="0" borderId="0" xfId="49" applyNumberFormat="1" applyFont="1" applyFill="1" applyBorder="1" applyAlignment="1" applyProtection="1">
      <alignment horizontal="center" vertical="center" wrapText="1"/>
      <protection locked="0"/>
    </xf>
    <xf numFmtId="0" fontId="23" fillId="0" borderId="0" xfId="49" applyNumberFormat="1" applyFont="1" applyFill="1" applyBorder="1" applyAlignment="1" applyProtection="1">
      <alignment vertical="center"/>
      <protection locked="0"/>
    </xf>
    <xf numFmtId="4" fontId="23" fillId="0" borderId="0" xfId="49" applyNumberFormat="1" applyFont="1" applyFill="1" applyBorder="1" applyAlignment="1" applyProtection="1">
      <alignment horizontal="center" vertical="center"/>
      <protection locked="0"/>
    </xf>
    <xf numFmtId="0" fontId="23" fillId="2" borderId="0" xfId="49" applyNumberFormat="1" applyFont="1" applyFill="1" applyBorder="1" applyAlignment="1" applyProtection="1">
      <alignment vertical="center"/>
      <protection locked="0"/>
    </xf>
    <xf numFmtId="0" fontId="19" fillId="2" borderId="23" xfId="49" applyNumberFormat="1" applyFont="1" applyFill="1" applyBorder="1" applyAlignment="1" applyProtection="1">
      <alignment vertical="center"/>
      <protection locked="0"/>
    </xf>
    <xf numFmtId="0" fontId="19" fillId="2" borderId="23" xfId="49" applyNumberFormat="1" applyFont="1" applyFill="1" applyBorder="1" applyAlignment="1" applyProtection="1">
      <alignment horizontal="center" vertical="center"/>
      <protection locked="0"/>
    </xf>
    <xf numFmtId="164" fontId="19" fillId="2" borderId="23" xfId="49" applyNumberFormat="1" applyFont="1" applyFill="1" applyBorder="1" applyAlignment="1" applyProtection="1">
      <alignment horizontal="center" vertical="center"/>
      <protection locked="0"/>
    </xf>
    <xf numFmtId="0" fontId="24" fillId="2" borderId="0" xfId="49" applyNumberFormat="1" applyFont="1" applyFill="1" applyBorder="1" applyAlignment="1" applyProtection="1">
      <alignment vertical="center"/>
      <protection locked="0"/>
    </xf>
    <xf numFmtId="0" fontId="24" fillId="2" borderId="0" xfId="49" applyNumberFormat="1" applyFont="1" applyFill="1" applyBorder="1" applyAlignment="1" applyProtection="1">
      <alignment horizontal="center" vertical="center"/>
      <protection locked="0"/>
    </xf>
    <xf numFmtId="0" fontId="24" fillId="2" borderId="0" xfId="48" applyFont="1" applyFill="1" applyBorder="1" applyAlignment="1">
      <alignment horizontal="right" vertical="center"/>
      <protection/>
    </xf>
    <xf numFmtId="164" fontId="24" fillId="2" borderId="0" xfId="48" applyNumberFormat="1" applyFont="1" applyFill="1" applyBorder="1" applyAlignment="1">
      <alignment horizontal="right" vertical="center"/>
      <protection/>
    </xf>
    <xf numFmtId="164" fontId="24" fillId="2" borderId="0" xfId="49" applyNumberFormat="1" applyFont="1" applyFill="1" applyBorder="1" applyAlignment="1" applyProtection="1">
      <alignment horizontal="center" vertical="center"/>
      <protection locked="0"/>
    </xf>
    <xf numFmtId="164" fontId="25" fillId="2" borderId="0" xfId="49" applyNumberFormat="1" applyFont="1" applyFill="1" applyBorder="1" applyAlignment="1" applyProtection="1">
      <alignment horizontal="center" vertical="center"/>
      <protection locked="0"/>
    </xf>
    <xf numFmtId="0" fontId="26" fillId="0" borderId="0" xfId="49" applyNumberFormat="1" applyFont="1" applyFill="1" applyBorder="1" applyAlignment="1" applyProtection="1">
      <alignment horizontal="center" vertical="center" wrapText="1"/>
      <protection locked="0"/>
    </xf>
    <xf numFmtId="0" fontId="26" fillId="0" borderId="0" xfId="49" applyNumberFormat="1" applyFont="1" applyFill="1" applyBorder="1" applyAlignment="1" applyProtection="1">
      <alignment vertical="center"/>
      <protection locked="0"/>
    </xf>
    <xf numFmtId="4" fontId="26" fillId="0" borderId="0" xfId="49" applyNumberFormat="1" applyFont="1" applyFill="1" applyBorder="1" applyAlignment="1" applyProtection="1">
      <alignment horizontal="center" vertical="center"/>
      <protection locked="0"/>
    </xf>
    <xf numFmtId="0" fontId="26" fillId="2" borderId="0" xfId="49" applyNumberFormat="1" applyFont="1" applyFill="1" applyBorder="1" applyAlignment="1" applyProtection="1">
      <alignment vertical="center"/>
      <protection locked="0"/>
    </xf>
    <xf numFmtId="0" fontId="27" fillId="0" borderId="0" xfId="0" applyFont="1" applyAlignment="1">
      <alignment/>
    </xf>
    <xf numFmtId="0" fontId="27" fillId="2" borderId="0" xfId="0" applyFont="1" applyFill="1" applyAlignment="1">
      <alignment/>
    </xf>
    <xf numFmtId="0" fontId="30" fillId="6" borderId="12" xfId="53" applyFont="1" applyFill="1" applyBorder="1" applyAlignment="1">
      <alignment horizontal="right" vertical="center"/>
      <protection/>
    </xf>
    <xf numFmtId="0" fontId="30" fillId="6" borderId="24" xfId="53" applyFont="1" applyFill="1" applyBorder="1" applyAlignment="1">
      <alignment horizontal="right" vertical="center"/>
      <protection/>
    </xf>
    <xf numFmtId="0" fontId="31" fillId="6" borderId="13" xfId="53" applyFont="1" applyFill="1" applyBorder="1" applyAlignment="1">
      <alignment horizontal="right" vertical="center"/>
      <protection/>
    </xf>
    <xf numFmtId="0" fontId="31" fillId="6" borderId="14" xfId="53" applyFont="1" applyFill="1" applyBorder="1" applyAlignment="1">
      <alignment horizontal="right" vertical="center"/>
      <protection/>
    </xf>
    <xf numFmtId="49" fontId="21" fillId="2" borderId="25" xfId="53" applyNumberFormat="1" applyFont="1" applyFill="1" applyBorder="1" applyAlignment="1">
      <alignment horizontal="center" vertical="center"/>
      <protection/>
    </xf>
    <xf numFmtId="0" fontId="19" fillId="2" borderId="26" xfId="53" applyFont="1" applyFill="1" applyBorder="1" applyAlignment="1">
      <alignment vertical="center"/>
      <protection/>
    </xf>
    <xf numFmtId="0" fontId="19" fillId="2" borderId="27" xfId="53" applyFont="1" applyFill="1" applyBorder="1" applyAlignment="1">
      <alignment vertical="center"/>
      <protection/>
    </xf>
    <xf numFmtId="0" fontId="19" fillId="2" borderId="28" xfId="53" applyFont="1" applyFill="1" applyBorder="1" applyAlignment="1">
      <alignment vertical="center"/>
      <protection/>
    </xf>
    <xf numFmtId="0" fontId="19" fillId="2" borderId="0" xfId="53" applyFont="1" applyFill="1" applyBorder="1" applyAlignment="1">
      <alignment vertical="center"/>
      <protection/>
    </xf>
    <xf numFmtId="0" fontId="19" fillId="2" borderId="29" xfId="53" applyFont="1" applyFill="1" applyBorder="1" applyAlignment="1">
      <alignment vertical="center"/>
      <protection/>
    </xf>
    <xf numFmtId="49" fontId="31" fillId="2" borderId="27" xfId="53" applyNumberFormat="1" applyFont="1" applyFill="1" applyBorder="1" applyAlignment="1">
      <alignment horizontal="center" vertical="center"/>
      <protection/>
    </xf>
    <xf numFmtId="0" fontId="31" fillId="2" borderId="29" xfId="53" applyFont="1" applyFill="1" applyBorder="1" applyAlignment="1">
      <alignment vertical="center" wrapText="1"/>
      <protection/>
    </xf>
    <xf numFmtId="0" fontId="32" fillId="18" borderId="27" xfId="53" applyFont="1" applyFill="1" applyBorder="1" applyAlignment="1">
      <alignment vertical="center"/>
      <protection/>
    </xf>
    <xf numFmtId="0" fontId="32" fillId="18" borderId="28" xfId="53" applyFont="1" applyFill="1" applyBorder="1" applyAlignment="1">
      <alignment vertical="center"/>
      <protection/>
    </xf>
    <xf numFmtId="0" fontId="32" fillId="18" borderId="0" xfId="53" applyFont="1" applyFill="1" applyBorder="1" applyAlignment="1">
      <alignment vertical="center"/>
      <protection/>
    </xf>
    <xf numFmtId="0" fontId="32" fillId="18" borderId="29" xfId="53" applyFont="1" applyFill="1" applyBorder="1" applyAlignment="1">
      <alignment vertical="center"/>
      <protection/>
    </xf>
    <xf numFmtId="0" fontId="30" fillId="2" borderId="29" xfId="53" applyFont="1" applyFill="1" applyBorder="1" applyAlignment="1">
      <alignment vertical="center"/>
      <protection/>
    </xf>
    <xf numFmtId="0" fontId="33" fillId="2" borderId="27" xfId="53" applyFont="1" applyFill="1" applyBorder="1" applyAlignment="1">
      <alignment vertical="center"/>
      <protection/>
    </xf>
    <xf numFmtId="0" fontId="33" fillId="2" borderId="28" xfId="53" applyFont="1" applyFill="1" applyBorder="1" applyAlignment="1">
      <alignment vertical="center"/>
      <protection/>
    </xf>
    <xf numFmtId="0" fontId="33" fillId="2" borderId="0" xfId="53" applyFont="1" applyFill="1" applyBorder="1" applyAlignment="1">
      <alignment vertical="center"/>
      <protection/>
    </xf>
    <xf numFmtId="0" fontId="33" fillId="2" borderId="29" xfId="53" applyFont="1" applyFill="1" applyBorder="1" applyAlignment="1">
      <alignment vertical="center"/>
      <protection/>
    </xf>
    <xf numFmtId="0" fontId="33" fillId="0" borderId="27" xfId="53" applyFont="1" applyFill="1" applyBorder="1" applyAlignment="1">
      <alignment vertical="center"/>
      <protection/>
    </xf>
    <xf numFmtId="0" fontId="33" fillId="18" borderId="30" xfId="53" applyFont="1" applyFill="1" applyBorder="1" applyAlignment="1">
      <alignment vertical="center"/>
      <protection/>
    </xf>
    <xf numFmtId="0" fontId="33" fillId="18" borderId="31" xfId="53" applyFont="1" applyFill="1" applyBorder="1" applyAlignment="1">
      <alignment vertical="center"/>
      <protection/>
    </xf>
    <xf numFmtId="0" fontId="27" fillId="18" borderId="28" xfId="0" applyFont="1" applyFill="1" applyBorder="1" applyAlignment="1">
      <alignment/>
    </xf>
    <xf numFmtId="0" fontId="33" fillId="18" borderId="0" xfId="53" applyFont="1" applyFill="1" applyBorder="1" applyAlignment="1">
      <alignment vertical="center"/>
      <protection/>
    </xf>
    <xf numFmtId="0" fontId="33" fillId="0" borderId="28" xfId="53" applyFont="1" applyFill="1" applyBorder="1" applyAlignment="1">
      <alignment vertical="center"/>
      <protection/>
    </xf>
    <xf numFmtId="0" fontId="33" fillId="0" borderId="0" xfId="53" applyFont="1" applyFill="1" applyBorder="1" applyAlignment="1">
      <alignment vertical="center"/>
      <protection/>
    </xf>
    <xf numFmtId="0" fontId="33" fillId="0" borderId="29" xfId="53" applyFont="1" applyFill="1" applyBorder="1" applyAlignment="1">
      <alignment vertical="center"/>
      <protection/>
    </xf>
    <xf numFmtId="0" fontId="33" fillId="18" borderId="28" xfId="53" applyFont="1" applyFill="1" applyBorder="1" applyAlignment="1">
      <alignment vertical="center"/>
      <protection/>
    </xf>
    <xf numFmtId="0" fontId="27" fillId="18" borderId="0" xfId="0" applyFont="1" applyFill="1" applyBorder="1" applyAlignment="1">
      <alignment/>
    </xf>
    <xf numFmtId="0" fontId="27" fillId="0" borderId="29" xfId="0" applyFont="1" applyFill="1" applyBorder="1" applyAlignment="1">
      <alignment/>
    </xf>
    <xf numFmtId="4" fontId="31" fillId="2" borderId="29" xfId="53" applyNumberFormat="1" applyFont="1" applyFill="1" applyBorder="1" applyAlignment="1">
      <alignment vertical="center" wrapText="1"/>
      <protection/>
    </xf>
    <xf numFmtId="0" fontId="33" fillId="0" borderId="30" xfId="53" applyFont="1" applyFill="1" applyBorder="1" applyAlignment="1">
      <alignment vertical="center"/>
      <protection/>
    </xf>
    <xf numFmtId="0" fontId="33" fillId="18" borderId="27" xfId="53" applyFont="1" applyFill="1" applyBorder="1" applyAlignment="1">
      <alignment vertical="center"/>
      <protection/>
    </xf>
    <xf numFmtId="0" fontId="33" fillId="18" borderId="29" xfId="53" applyFont="1" applyFill="1" applyBorder="1" applyAlignment="1">
      <alignment vertical="center"/>
      <protection/>
    </xf>
    <xf numFmtId="49" fontId="31" fillId="2" borderId="32" xfId="53" applyNumberFormat="1" applyFont="1" applyFill="1" applyBorder="1" applyAlignment="1">
      <alignment horizontal="center" vertical="center"/>
      <protection/>
    </xf>
    <xf numFmtId="0" fontId="31" fillId="2" borderId="33" xfId="53" applyFont="1" applyFill="1" applyBorder="1" applyAlignment="1">
      <alignment vertical="center" wrapText="1"/>
      <protection/>
    </xf>
    <xf numFmtId="0" fontId="33" fillId="2" borderId="32" xfId="53" applyFont="1" applyFill="1" applyBorder="1" applyAlignment="1">
      <alignment vertical="center"/>
      <protection/>
    </xf>
    <xf numFmtId="0" fontId="33" fillId="2" borderId="34" xfId="53" applyFont="1" applyFill="1" applyBorder="1" applyAlignment="1">
      <alignment vertical="center"/>
      <protection/>
    </xf>
    <xf numFmtId="0" fontId="33" fillId="2" borderId="11" xfId="53" applyFont="1" applyFill="1" applyBorder="1" applyAlignment="1">
      <alignment vertical="center"/>
      <protection/>
    </xf>
    <xf numFmtId="0" fontId="33" fillId="2" borderId="33" xfId="53" applyFont="1" applyFill="1" applyBorder="1" applyAlignment="1">
      <alignment vertical="center"/>
      <protection/>
    </xf>
    <xf numFmtId="0" fontId="0" fillId="0" borderId="0" xfId="0" applyAlignment="1" applyProtection="1">
      <alignment vertical="top"/>
      <protection locked="0"/>
    </xf>
    <xf numFmtId="0" fontId="0" fillId="2" borderId="0" xfId="0" applyFill="1" applyAlignment="1" applyProtection="1">
      <alignment vertical="top"/>
      <protection locked="0"/>
    </xf>
    <xf numFmtId="166" fontId="31" fillId="6" borderId="35" xfId="53" applyNumberFormat="1" applyFont="1" applyFill="1" applyBorder="1" applyAlignment="1">
      <alignment horizontal="center" vertical="center" wrapText="1"/>
      <protection/>
    </xf>
    <xf numFmtId="166" fontId="31" fillId="6" borderId="36" xfId="53" applyNumberFormat="1" applyFont="1" applyFill="1" applyBorder="1" applyAlignment="1">
      <alignment horizontal="center" vertical="center" wrapText="1"/>
      <protection/>
    </xf>
    <xf numFmtId="166" fontId="31" fillId="6" borderId="37" xfId="53" applyNumberFormat="1" applyFont="1" applyFill="1" applyBorder="1" applyAlignment="1">
      <alignment horizontal="center" vertical="center" wrapText="1"/>
      <protection/>
    </xf>
    <xf numFmtId="166" fontId="31" fillId="8" borderId="35" xfId="53" applyNumberFormat="1" applyFont="1" applyFill="1" applyBorder="1" applyAlignment="1">
      <alignment horizontal="center" vertical="center" wrapText="1"/>
      <protection/>
    </xf>
    <xf numFmtId="166" fontId="31" fillId="8" borderId="36" xfId="53" applyNumberFormat="1" applyFont="1" applyFill="1" applyBorder="1" applyAlignment="1">
      <alignment horizontal="center" vertical="center" wrapText="1"/>
      <protection/>
    </xf>
    <xf numFmtId="166" fontId="31" fillId="8" borderId="37" xfId="53" applyNumberFormat="1" applyFont="1" applyFill="1" applyBorder="1" applyAlignment="1">
      <alignment horizontal="center" vertical="center" wrapText="1"/>
      <protection/>
    </xf>
    <xf numFmtId="49" fontId="21" fillId="6" borderId="38" xfId="53" applyNumberFormat="1" applyFont="1" applyFill="1" applyBorder="1" applyAlignment="1">
      <alignment horizontal="center" vertical="center"/>
      <protection/>
    </xf>
    <xf numFmtId="164" fontId="19" fillId="2" borderId="39" xfId="53" applyNumberFormat="1" applyFont="1" applyFill="1" applyBorder="1" applyAlignment="1">
      <alignment horizontal="center" vertical="center"/>
      <protection/>
    </xf>
    <xf numFmtId="164" fontId="19" fillId="2" borderId="40" xfId="53" applyNumberFormat="1" applyFont="1" applyFill="1" applyBorder="1" applyAlignment="1">
      <alignment horizontal="center" vertical="center"/>
      <protection/>
    </xf>
    <xf numFmtId="10" fontId="19" fillId="0" borderId="41" xfId="50" applyNumberFormat="1" applyFont="1" applyBorder="1" applyAlignment="1">
      <alignment horizontal="center" vertical="center"/>
      <protection/>
    </xf>
    <xf numFmtId="10" fontId="19" fillId="0" borderId="42" xfId="50" applyNumberFormat="1" applyFont="1" applyBorder="1" applyAlignment="1">
      <alignment horizontal="center" vertical="center"/>
      <protection/>
    </xf>
    <xf numFmtId="10" fontId="19" fillId="0" borderId="43" xfId="50" applyNumberFormat="1" applyFont="1" applyBorder="1" applyAlignment="1">
      <alignment horizontal="center" vertical="center"/>
      <protection/>
    </xf>
    <xf numFmtId="164" fontId="19" fillId="2" borderId="41" xfId="53" applyNumberFormat="1" applyFont="1" applyFill="1" applyBorder="1" applyAlignment="1">
      <alignment horizontal="center" vertical="center"/>
      <protection/>
    </xf>
    <xf numFmtId="164" fontId="19" fillId="2" borderId="42" xfId="53" applyNumberFormat="1" applyFont="1" applyFill="1" applyBorder="1" applyAlignment="1">
      <alignment horizontal="center" vertical="center"/>
      <protection/>
    </xf>
    <xf numFmtId="164" fontId="19" fillId="2" borderId="43" xfId="53" applyNumberFormat="1" applyFont="1" applyFill="1" applyBorder="1" applyAlignment="1">
      <alignment horizontal="center" vertical="center"/>
      <protection/>
    </xf>
    <xf numFmtId="49" fontId="21" fillId="6" borderId="44" xfId="53" applyNumberFormat="1" applyFont="1" applyFill="1" applyBorder="1" applyAlignment="1">
      <alignment horizontal="center" vertical="center"/>
      <protection/>
    </xf>
    <xf numFmtId="164" fontId="19" fillId="2" borderId="45" xfId="53" applyNumberFormat="1" applyFont="1" applyFill="1" applyBorder="1" applyAlignment="1">
      <alignment horizontal="center" vertical="center"/>
      <protection/>
    </xf>
    <xf numFmtId="164" fontId="19" fillId="2" borderId="46" xfId="53" applyNumberFormat="1" applyFont="1" applyFill="1" applyBorder="1" applyAlignment="1">
      <alignment horizontal="center" vertical="center"/>
      <protection/>
    </xf>
    <xf numFmtId="10" fontId="19" fillId="0" borderId="47" xfId="50" applyNumberFormat="1" applyFont="1" applyBorder="1" applyAlignment="1">
      <alignment horizontal="center" vertical="center"/>
      <protection/>
    </xf>
    <xf numFmtId="10" fontId="19" fillId="2" borderId="48" xfId="53" applyNumberFormat="1" applyFont="1" applyFill="1" applyBorder="1" applyAlignment="1">
      <alignment horizontal="center" vertical="center"/>
      <protection/>
    </xf>
    <xf numFmtId="10" fontId="19" fillId="2" borderId="49" xfId="53" applyNumberFormat="1" applyFont="1" applyFill="1" applyBorder="1" applyAlignment="1">
      <alignment horizontal="center" vertical="center"/>
      <protection/>
    </xf>
    <xf numFmtId="164" fontId="19" fillId="2" borderId="47" xfId="53" applyNumberFormat="1" applyFont="1" applyFill="1" applyBorder="1" applyAlignment="1">
      <alignment horizontal="center" vertical="center"/>
      <protection/>
    </xf>
    <xf numFmtId="164" fontId="19" fillId="2" borderId="48" xfId="53" applyNumberFormat="1" applyFont="1" applyFill="1" applyBorder="1" applyAlignment="1">
      <alignment horizontal="center" vertical="center"/>
      <protection/>
    </xf>
    <xf numFmtId="164" fontId="19" fillId="2" borderId="49" xfId="53" applyNumberFormat="1" applyFont="1" applyFill="1" applyBorder="1" applyAlignment="1">
      <alignment horizontal="center" vertical="center"/>
      <protection/>
    </xf>
    <xf numFmtId="10" fontId="19" fillId="0" borderId="48" xfId="50" applyNumberFormat="1" applyFont="1" applyBorder="1" applyAlignment="1">
      <alignment horizontal="center" vertical="center"/>
      <protection/>
    </xf>
    <xf numFmtId="10" fontId="19" fillId="0" borderId="49" xfId="50" applyNumberFormat="1" applyFont="1" applyBorder="1" applyAlignment="1">
      <alignment horizontal="center" vertical="center"/>
      <protection/>
    </xf>
    <xf numFmtId="49" fontId="21" fillId="6" borderId="50" xfId="53" applyNumberFormat="1" applyFont="1" applyFill="1" applyBorder="1" applyAlignment="1">
      <alignment horizontal="center" vertical="center"/>
      <protection/>
    </xf>
    <xf numFmtId="164" fontId="19" fillId="2" borderId="51" xfId="53" applyNumberFormat="1" applyFont="1" applyFill="1" applyBorder="1" applyAlignment="1">
      <alignment horizontal="center" vertical="center"/>
      <protection/>
    </xf>
    <xf numFmtId="164" fontId="19" fillId="2" borderId="52" xfId="53" applyNumberFormat="1" applyFont="1" applyFill="1" applyBorder="1" applyAlignment="1">
      <alignment horizontal="center" vertical="center"/>
      <protection/>
    </xf>
    <xf numFmtId="10" fontId="19" fillId="0" borderId="35" xfId="50" applyNumberFormat="1" applyFont="1" applyBorder="1" applyAlignment="1">
      <alignment horizontal="center" vertical="center"/>
      <protection/>
    </xf>
    <xf numFmtId="10" fontId="19" fillId="0" borderId="36" xfId="50" applyNumberFormat="1" applyFont="1" applyBorder="1" applyAlignment="1">
      <alignment horizontal="center" vertical="center"/>
      <protection/>
    </xf>
    <xf numFmtId="10" fontId="19" fillId="0" borderId="37" xfId="50" applyNumberFormat="1" applyFont="1" applyBorder="1" applyAlignment="1">
      <alignment horizontal="center" vertical="center"/>
      <protection/>
    </xf>
    <xf numFmtId="164" fontId="19" fillId="2" borderId="35" xfId="53" applyNumberFormat="1" applyFont="1" applyFill="1" applyBorder="1" applyAlignment="1">
      <alignment horizontal="center" vertical="center"/>
      <protection/>
    </xf>
    <xf numFmtId="164" fontId="19" fillId="2" borderId="36" xfId="53" applyNumberFormat="1" applyFont="1" applyFill="1" applyBorder="1" applyAlignment="1">
      <alignment horizontal="center" vertical="center"/>
      <protection/>
    </xf>
    <xf numFmtId="164" fontId="19" fillId="2" borderId="37" xfId="53" applyNumberFormat="1" applyFont="1" applyFill="1" applyBorder="1" applyAlignment="1">
      <alignment horizontal="center" vertical="center"/>
      <protection/>
    </xf>
    <xf numFmtId="49" fontId="24" fillId="2" borderId="0" xfId="53" applyNumberFormat="1" applyFont="1" applyFill="1" applyBorder="1" applyAlignment="1">
      <alignment horizontal="center" vertical="center"/>
      <protection/>
    </xf>
    <xf numFmtId="167" fontId="21" fillId="2" borderId="53" xfId="53" applyNumberFormat="1" applyFont="1" applyFill="1" applyBorder="1" applyAlignment="1">
      <alignment horizontal="center" vertical="center"/>
      <protection/>
    </xf>
    <xf numFmtId="167" fontId="21" fillId="2" borderId="54" xfId="53" applyNumberFormat="1" applyFont="1" applyFill="1" applyBorder="1" applyAlignment="1">
      <alignment horizontal="center" vertical="center"/>
      <protection/>
    </xf>
    <xf numFmtId="10" fontId="21" fillId="2" borderId="0" xfId="53" applyNumberFormat="1" applyFont="1" applyFill="1" applyBorder="1" applyAlignment="1">
      <alignment horizontal="center" vertical="center"/>
      <protection/>
    </xf>
    <xf numFmtId="168" fontId="34" fillId="2" borderId="0" xfId="0" applyNumberFormat="1" applyFont="1" applyFill="1" applyAlignment="1" applyProtection="1">
      <alignment vertical="top"/>
      <protection locked="0"/>
    </xf>
    <xf numFmtId="0" fontId="35" fillId="2" borderId="0" xfId="0" applyFont="1" applyFill="1" applyAlignment="1">
      <alignment/>
    </xf>
    <xf numFmtId="0" fontId="36" fillId="2" borderId="0" xfId="0" applyFont="1" applyFill="1" applyAlignment="1">
      <alignment/>
    </xf>
    <xf numFmtId="0" fontId="37" fillId="0" borderId="48" xfId="0" applyFont="1" applyBorder="1" applyAlignment="1">
      <alignment horizontal="center" vertical="center" wrapText="1"/>
    </xf>
    <xf numFmtId="0" fontId="24" fillId="0" borderId="48" xfId="0" applyFont="1" applyBorder="1" applyAlignment="1">
      <alignment horizontal="center" vertical="center" wrapText="1"/>
    </xf>
    <xf numFmtId="0" fontId="38" fillId="2" borderId="0" xfId="0" applyFont="1" applyFill="1" applyAlignment="1">
      <alignment/>
    </xf>
    <xf numFmtId="0" fontId="38" fillId="0" borderId="0" xfId="0" applyFont="1" applyAlignment="1">
      <alignment/>
    </xf>
    <xf numFmtId="0" fontId="39" fillId="0" borderId="48" xfId="0" applyFont="1" applyBorder="1" applyAlignment="1">
      <alignment horizontal="center" vertical="center" wrapText="1"/>
    </xf>
    <xf numFmtId="0" fontId="40" fillId="0" borderId="48" xfId="0" applyFont="1" applyBorder="1" applyAlignment="1">
      <alignment horizontal="center" vertical="center" wrapText="1"/>
    </xf>
    <xf numFmtId="10" fontId="37" fillId="0" borderId="48" xfId="0" applyNumberFormat="1" applyFont="1" applyBorder="1" applyAlignment="1">
      <alignment horizontal="center" vertical="center" wrapText="1"/>
    </xf>
    <xf numFmtId="10" fontId="24" fillId="0" borderId="48" xfId="0" applyNumberFormat="1" applyFont="1" applyBorder="1" applyAlignment="1">
      <alignment horizontal="center" vertical="center" wrapText="1"/>
    </xf>
    <xf numFmtId="169" fontId="37" fillId="6" borderId="48" xfId="0" applyNumberFormat="1" applyFont="1" applyFill="1" applyBorder="1" applyAlignment="1">
      <alignment horizontal="center" vertical="center" wrapText="1"/>
    </xf>
    <xf numFmtId="169" fontId="24" fillId="6" borderId="48" xfId="0" applyNumberFormat="1" applyFont="1" applyFill="1" applyBorder="1" applyAlignment="1">
      <alignment horizontal="center" vertical="center" wrapText="1"/>
    </xf>
    <xf numFmtId="170" fontId="27" fillId="2" borderId="0" xfId="0" applyNumberFormat="1" applyFont="1" applyFill="1" applyAlignment="1">
      <alignment/>
    </xf>
    <xf numFmtId="0" fontId="20" fillId="2" borderId="0" xfId="0" applyFont="1" applyFill="1" applyBorder="1" applyAlignment="1">
      <alignment horizontal="center" vertical="center" wrapText="1"/>
    </xf>
    <xf numFmtId="0" fontId="19" fillId="2" borderId="0" xfId="46" applyFont="1" applyFill="1" applyBorder="1" applyAlignment="1" applyProtection="1">
      <alignment horizontal="center" vertical="center" wrapText="1"/>
      <protection/>
    </xf>
    <xf numFmtId="0" fontId="19" fillId="2" borderId="0" xfId="0" applyFont="1" applyFill="1" applyBorder="1" applyAlignment="1">
      <alignment horizontal="center"/>
    </xf>
    <xf numFmtId="0" fontId="22" fillId="2" borderId="0" xfId="0" applyFont="1" applyFill="1" applyBorder="1" applyAlignment="1">
      <alignment horizontal="center" vertical="center" wrapText="1"/>
    </xf>
    <xf numFmtId="0" fontId="19" fillId="2" borderId="20" xfId="0" applyFont="1" applyFill="1" applyBorder="1" applyAlignment="1" applyProtection="1">
      <alignment horizontal="right" vertical="top"/>
      <protection locked="0"/>
    </xf>
    <xf numFmtId="165" fontId="19" fillId="2" borderId="23" xfId="48" applyNumberFormat="1" applyFont="1" applyFill="1" applyBorder="1" applyAlignment="1">
      <alignment horizontal="right" vertical="center"/>
      <protection/>
    </xf>
    <xf numFmtId="49" fontId="28" fillId="2" borderId="11" xfId="53" applyNumberFormat="1" applyFont="1" applyFill="1" applyBorder="1" applyAlignment="1">
      <alignment horizontal="center" vertical="center"/>
      <protection/>
    </xf>
    <xf numFmtId="49" fontId="29" fillId="6" borderId="54" xfId="53" applyNumberFormat="1" applyFont="1" applyFill="1" applyBorder="1" applyAlignment="1">
      <alignment horizontal="center" vertical="center"/>
      <protection/>
    </xf>
    <xf numFmtId="0" fontId="21" fillId="6" borderId="54" xfId="53" applyFont="1" applyFill="1" applyBorder="1" applyAlignment="1">
      <alignment horizontal="center" vertical="center"/>
      <protection/>
    </xf>
    <xf numFmtId="49" fontId="28" fillId="2" borderId="0" xfId="53" applyNumberFormat="1" applyFont="1" applyFill="1" applyBorder="1" applyAlignment="1">
      <alignment horizontal="center" vertical="center"/>
      <protection/>
    </xf>
    <xf numFmtId="49" fontId="31" fillId="6" borderId="54" xfId="53" applyNumberFormat="1" applyFont="1" applyFill="1" applyBorder="1" applyAlignment="1">
      <alignment horizontal="center" vertical="center"/>
      <protection/>
    </xf>
    <xf numFmtId="49" fontId="31" fillId="8" borderId="55" xfId="53" applyNumberFormat="1" applyFont="1" applyFill="1" applyBorder="1" applyAlignment="1">
      <alignment horizontal="center" vertical="center" wrapText="1"/>
      <protection/>
    </xf>
    <xf numFmtId="49" fontId="31" fillId="8" borderId="56" xfId="53" applyNumberFormat="1" applyFont="1" applyFill="1" applyBorder="1" applyAlignment="1">
      <alignment horizontal="center" vertical="center" wrapText="1"/>
      <protection/>
    </xf>
    <xf numFmtId="10" fontId="31" fillId="6" borderId="57" xfId="53" applyNumberFormat="1" applyFont="1" applyFill="1" applyBorder="1" applyAlignment="1">
      <alignment horizontal="center" vertical="center"/>
      <protection/>
    </xf>
    <xf numFmtId="10" fontId="31" fillId="8" borderId="57" xfId="53" applyNumberFormat="1" applyFont="1" applyFill="1" applyBorder="1" applyAlignment="1">
      <alignment horizontal="center" vertical="center"/>
      <protection/>
    </xf>
    <xf numFmtId="4" fontId="0" fillId="2" borderId="0" xfId="0" applyNumberFormat="1" applyFill="1" applyBorder="1" applyAlignment="1" applyProtection="1">
      <alignment horizontal="center" vertical="center"/>
      <protection locked="0"/>
    </xf>
    <xf numFmtId="0" fontId="28" fillId="2" borderId="20" xfId="0" applyFont="1" applyFill="1" applyBorder="1" applyAlignment="1">
      <alignment horizontal="center" vertical="center" wrapText="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3" xfId="49"/>
    <cellStyle name="Normal 5" xfId="50"/>
    <cellStyle name="Normal 5 2" xfId="51"/>
    <cellStyle name="Normal 5 3" xfId="52"/>
    <cellStyle name="Normal_Planilha - Rede Coletrora 44 Casas" xfId="53"/>
    <cellStyle name="Nota" xfId="54"/>
    <cellStyle name="Percent" xfId="55"/>
    <cellStyle name="Saída" xfId="56"/>
    <cellStyle name="Comma" xfId="57"/>
    <cellStyle name="Comma [0]" xfId="58"/>
    <cellStyle name="Texto de Aviso" xfId="59"/>
    <cellStyle name="Texto Explicativo" xfId="60"/>
    <cellStyle name="Título 1" xfId="61"/>
    <cellStyle name="Título 2" xfId="62"/>
    <cellStyle name="Título 3" xfId="63"/>
    <cellStyle name="Título 4" xfId="64"/>
    <cellStyle name="Título 5" xfId="65"/>
    <cellStyle name="Total"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85725</xdr:rowOff>
    </xdr:from>
    <xdr:to>
      <xdr:col>1</xdr:col>
      <xdr:colOff>485775</xdr:colOff>
      <xdr:row>8</xdr:row>
      <xdr:rowOff>19050</xdr:rowOff>
    </xdr:to>
    <xdr:pic>
      <xdr:nvPicPr>
        <xdr:cNvPr id="1" name="Picture 1"/>
        <xdr:cNvPicPr preferRelativeResize="1">
          <a:picLocks noChangeAspect="1"/>
        </xdr:cNvPicPr>
      </xdr:nvPicPr>
      <xdr:blipFill>
        <a:blip r:embed="rId1"/>
        <a:stretch>
          <a:fillRect/>
        </a:stretch>
      </xdr:blipFill>
      <xdr:spPr>
        <a:xfrm>
          <a:off x="104775" y="571500"/>
          <a:ext cx="762000" cy="657225"/>
        </a:xfrm>
        <a:prstGeom prst="rect">
          <a:avLst/>
        </a:prstGeom>
        <a:blipFill>
          <a:blip r:embed=""/>
          <a:srcRect/>
          <a:stretch>
            <a:fillRect/>
          </a:stretch>
        </a:blipFill>
        <a:ln w="9525" cmpd="sng">
          <a:noFill/>
        </a:ln>
      </xdr:spPr>
    </xdr:pic>
    <xdr:clientData/>
  </xdr:twoCellAnchor>
  <xdr:twoCellAnchor>
    <xdr:from>
      <xdr:col>1</xdr:col>
      <xdr:colOff>485775</xdr:colOff>
      <xdr:row>3</xdr:row>
      <xdr:rowOff>104775</xdr:rowOff>
    </xdr:from>
    <xdr:to>
      <xdr:col>2</xdr:col>
      <xdr:colOff>3238500</xdr:colOff>
      <xdr:row>7</xdr:row>
      <xdr:rowOff>133350</xdr:rowOff>
    </xdr:to>
    <xdr:pic>
      <xdr:nvPicPr>
        <xdr:cNvPr id="2" name="Picture 2"/>
        <xdr:cNvPicPr preferRelativeResize="1">
          <a:picLocks noChangeAspect="1"/>
        </xdr:cNvPicPr>
      </xdr:nvPicPr>
      <xdr:blipFill>
        <a:blip r:embed="rId2"/>
        <a:stretch>
          <a:fillRect/>
        </a:stretch>
      </xdr:blipFill>
      <xdr:spPr>
        <a:xfrm>
          <a:off x="866775" y="590550"/>
          <a:ext cx="3400425" cy="561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4"/>
  <sheetViews>
    <sheetView tabSelected="1" workbookViewId="0" topLeftCell="A1">
      <selection activeCell="A1" sqref="A1:G3"/>
    </sheetView>
  </sheetViews>
  <sheetFormatPr defaultColWidth="9.140625" defaultRowHeight="12.75"/>
  <cols>
    <col min="1" max="1" width="5.7109375" style="1" customWidth="1"/>
    <col min="2" max="2" width="9.7109375" style="1" customWidth="1"/>
    <col min="3" max="3" width="50.7109375" style="1" customWidth="1"/>
    <col min="4" max="4" width="6.7109375" style="2" customWidth="1"/>
    <col min="5" max="5" width="7.7109375" style="1" customWidth="1"/>
    <col min="6" max="6" width="8.7109375" style="1" customWidth="1"/>
    <col min="7" max="7" width="12.7109375" style="1" customWidth="1"/>
    <col min="8" max="8" width="2.7109375" style="3" customWidth="1"/>
    <col min="9" max="16384" width="9.140625" style="4" customWidth="1"/>
  </cols>
  <sheetData>
    <row r="1" spans="1:8" ht="12.75" customHeight="1">
      <c r="A1" s="209" t="s">
        <v>0</v>
      </c>
      <c r="B1" s="209"/>
      <c r="C1" s="209"/>
      <c r="D1" s="209"/>
      <c r="E1" s="209"/>
      <c r="F1" s="209"/>
      <c r="G1" s="209"/>
      <c r="H1" s="5"/>
    </row>
    <row r="2" spans="1:8" ht="12.75" customHeight="1">
      <c r="A2" s="209"/>
      <c r="B2" s="209"/>
      <c r="C2" s="209"/>
      <c r="D2" s="209"/>
      <c r="E2" s="209"/>
      <c r="F2" s="209"/>
      <c r="G2" s="209"/>
      <c r="H2" s="5"/>
    </row>
    <row r="3" spans="1:8" ht="12.75" customHeight="1">
      <c r="A3" s="209"/>
      <c r="B3" s="209"/>
      <c r="C3" s="209"/>
      <c r="D3" s="209"/>
      <c r="E3" s="209"/>
      <c r="F3" s="209"/>
      <c r="G3" s="209"/>
      <c r="H3" s="5"/>
    </row>
    <row r="4" spans="1:8" s="10" customFormat="1" ht="10.5" customHeight="1">
      <c r="A4" s="6"/>
      <c r="B4" s="7"/>
      <c r="C4" s="210"/>
      <c r="D4" s="210"/>
      <c r="E4" s="8"/>
      <c r="F4" s="8"/>
      <c r="G4" s="8"/>
      <c r="H4" s="9"/>
    </row>
    <row r="5" spans="1:8" s="10" customFormat="1" ht="10.5" customHeight="1">
      <c r="A5" s="6"/>
      <c r="B5" s="7"/>
      <c r="C5" s="210"/>
      <c r="D5" s="210"/>
      <c r="E5" s="11"/>
      <c r="F5" s="11"/>
      <c r="G5" s="11"/>
      <c r="H5" s="11"/>
    </row>
    <row r="6" spans="1:8" s="10" customFormat="1" ht="10.5" customHeight="1">
      <c r="A6" s="6"/>
      <c r="B6" s="7"/>
      <c r="C6" s="210"/>
      <c r="D6" s="210"/>
      <c r="E6" s="8"/>
      <c r="F6" s="8"/>
      <c r="G6" s="8"/>
      <c r="H6" s="9"/>
    </row>
    <row r="7" spans="1:8" s="10" customFormat="1" ht="10.5" customHeight="1">
      <c r="A7" s="6"/>
      <c r="B7" s="7"/>
      <c r="C7" s="210"/>
      <c r="D7" s="210"/>
      <c r="E7" s="8"/>
      <c r="F7" s="8"/>
      <c r="G7" s="8"/>
      <c r="H7" s="9"/>
    </row>
    <row r="8" spans="1:8" s="13" customFormat="1" ht="15" customHeight="1">
      <c r="A8" s="1"/>
      <c r="B8" s="1"/>
      <c r="C8" s="210"/>
      <c r="D8" s="210"/>
      <c r="E8" s="1"/>
      <c r="F8" s="211"/>
      <c r="G8" s="211"/>
      <c r="H8" s="12"/>
    </row>
    <row r="9" spans="1:8" s="13" customFormat="1" ht="19.5" customHeight="1">
      <c r="A9" s="212" t="s">
        <v>1</v>
      </c>
      <c r="B9" s="212"/>
      <c r="C9" s="212"/>
      <c r="D9" s="212"/>
      <c r="E9" s="212"/>
      <c r="F9" s="212"/>
      <c r="G9" s="212"/>
      <c r="H9" s="14"/>
    </row>
    <row r="10" spans="1:8" s="13" customFormat="1" ht="19.5" customHeight="1">
      <c r="A10" s="212"/>
      <c r="B10" s="212"/>
      <c r="C10" s="212"/>
      <c r="D10" s="212"/>
      <c r="E10" s="212"/>
      <c r="F10" s="212"/>
      <c r="G10" s="212"/>
      <c r="H10" s="14"/>
    </row>
    <row r="11" spans="1:8" s="13" customFormat="1" ht="15" customHeight="1">
      <c r="A11" s="213" t="s">
        <v>2</v>
      </c>
      <c r="B11" s="213"/>
      <c r="C11" s="213"/>
      <c r="D11" s="213"/>
      <c r="E11" s="213"/>
      <c r="F11" s="213"/>
      <c r="G11" s="213"/>
      <c r="H11" s="15"/>
    </row>
    <row r="12" spans="1:8" ht="19.5" customHeight="1">
      <c r="A12" s="16" t="s">
        <v>3</v>
      </c>
      <c r="B12" s="16" t="s">
        <v>4</v>
      </c>
      <c r="C12" s="17" t="s">
        <v>5</v>
      </c>
      <c r="D12" s="16" t="s">
        <v>6</v>
      </c>
      <c r="E12" s="16" t="s">
        <v>7</v>
      </c>
      <c r="F12" s="16" t="s">
        <v>8</v>
      </c>
      <c r="G12" s="16" t="s">
        <v>9</v>
      </c>
      <c r="H12" s="18"/>
    </row>
    <row r="13" spans="1:8" ht="9.75" customHeight="1">
      <c r="A13" s="19"/>
      <c r="B13" s="19"/>
      <c r="C13" s="20"/>
      <c r="D13" s="19"/>
      <c r="E13" s="19"/>
      <c r="F13" s="19"/>
      <c r="G13" s="19"/>
      <c r="H13" s="18"/>
    </row>
    <row r="14" spans="1:10" s="26" customFormat="1" ht="19.5" customHeight="1">
      <c r="A14" s="21" t="s">
        <v>10</v>
      </c>
      <c r="B14" s="22"/>
      <c r="C14" s="23" t="s">
        <v>11</v>
      </c>
      <c r="D14" s="22"/>
      <c r="E14" s="22"/>
      <c r="F14" s="22"/>
      <c r="G14" s="24">
        <f>SUM(G16:G29)</f>
        <v>54016.57000000001</v>
      </c>
      <c r="H14" s="25"/>
      <c r="J14" s="27"/>
    </row>
    <row r="15" spans="1:8" ht="9.75" customHeight="1">
      <c r="A15" s="18"/>
      <c r="B15" s="18"/>
      <c r="C15" s="28"/>
      <c r="D15" s="18"/>
      <c r="E15" s="18"/>
      <c r="F15" s="18"/>
      <c r="G15" s="18"/>
      <c r="H15" s="18"/>
    </row>
    <row r="16" spans="1:11" s="32" customFormat="1" ht="30" customHeight="1">
      <c r="A16" s="29" t="s">
        <v>12</v>
      </c>
      <c r="B16" s="29" t="s">
        <v>13</v>
      </c>
      <c r="C16" s="30" t="s">
        <v>14</v>
      </c>
      <c r="D16" s="29" t="s">
        <v>15</v>
      </c>
      <c r="E16" s="31">
        <v>6</v>
      </c>
      <c r="F16" s="31">
        <v>321.13</v>
      </c>
      <c r="G16" s="31">
        <f aca="true" t="shared" si="0" ref="G16:G29">ROUND(E16*F16,2)</f>
        <v>1926.78</v>
      </c>
      <c r="H16" s="18"/>
      <c r="I16" s="4"/>
      <c r="J16" s="4"/>
      <c r="K16" s="4"/>
    </row>
    <row r="17" spans="1:11" s="32" customFormat="1" ht="60" customHeight="1">
      <c r="A17" s="29" t="s">
        <v>16</v>
      </c>
      <c r="B17" s="29" t="s">
        <v>17</v>
      </c>
      <c r="C17" s="30" t="s">
        <v>18</v>
      </c>
      <c r="D17" s="29" t="s">
        <v>15</v>
      </c>
      <c r="E17" s="31">
        <f>ROUND(162.7*2,2)</f>
        <v>325.4</v>
      </c>
      <c r="F17" s="31">
        <v>25.91</v>
      </c>
      <c r="G17" s="31">
        <f t="shared" si="0"/>
        <v>8431.11</v>
      </c>
      <c r="H17" s="18"/>
      <c r="I17" s="4"/>
      <c r="J17" s="4"/>
      <c r="K17" s="4"/>
    </row>
    <row r="18" spans="1:11" s="32" customFormat="1" ht="45" customHeight="1">
      <c r="A18" s="29" t="s">
        <v>19</v>
      </c>
      <c r="B18" s="33" t="s">
        <v>20</v>
      </c>
      <c r="C18" s="34" t="s">
        <v>21</v>
      </c>
      <c r="D18" s="35" t="s">
        <v>22</v>
      </c>
      <c r="E18" s="31">
        <v>1</v>
      </c>
      <c r="F18" s="31">
        <v>1434.64</v>
      </c>
      <c r="G18" s="31">
        <f t="shared" si="0"/>
        <v>1434.64</v>
      </c>
      <c r="H18" s="18"/>
      <c r="I18" s="4"/>
      <c r="J18" s="4"/>
      <c r="K18" s="4"/>
    </row>
    <row r="19" spans="1:11" s="32" customFormat="1" ht="60" customHeight="1">
      <c r="A19" s="29" t="s">
        <v>23</v>
      </c>
      <c r="B19" s="33" t="s">
        <v>24</v>
      </c>
      <c r="C19" s="34" t="s">
        <v>25</v>
      </c>
      <c r="D19" s="35" t="s">
        <v>15</v>
      </c>
      <c r="E19" s="31">
        <f>ROUND(5*4,2)</f>
        <v>20</v>
      </c>
      <c r="F19" s="31">
        <v>371.24</v>
      </c>
      <c r="G19" s="31">
        <f t="shared" si="0"/>
        <v>7424.8</v>
      </c>
      <c r="H19" s="18"/>
      <c r="I19" s="4"/>
      <c r="J19" s="4"/>
      <c r="K19" s="4"/>
    </row>
    <row r="20" spans="1:11" s="32" customFormat="1" ht="75" customHeight="1">
      <c r="A20" s="29" t="s">
        <v>26</v>
      </c>
      <c r="B20" s="33" t="s">
        <v>27</v>
      </c>
      <c r="C20" s="34" t="s">
        <v>28</v>
      </c>
      <c r="D20" s="35" t="s">
        <v>29</v>
      </c>
      <c r="E20" s="31">
        <f>ROUND(1*4,2)</f>
        <v>4</v>
      </c>
      <c r="F20" s="31">
        <v>800</v>
      </c>
      <c r="G20" s="31">
        <f t="shared" si="0"/>
        <v>3200</v>
      </c>
      <c r="H20" s="18"/>
      <c r="I20" s="4"/>
      <c r="J20" s="4"/>
      <c r="K20" s="4"/>
    </row>
    <row r="21" spans="1:11" s="32" customFormat="1" ht="75" customHeight="1">
      <c r="A21" s="29" t="s">
        <v>30</v>
      </c>
      <c r="B21" s="29" t="s">
        <v>31</v>
      </c>
      <c r="C21" s="30" t="s">
        <v>32</v>
      </c>
      <c r="D21" s="29" t="s">
        <v>33</v>
      </c>
      <c r="E21" s="31">
        <f>ROUND(44*3.5*4,2)</f>
        <v>616</v>
      </c>
      <c r="F21" s="31">
        <v>4</v>
      </c>
      <c r="G21" s="31">
        <f t="shared" si="0"/>
        <v>2464</v>
      </c>
      <c r="H21" s="18"/>
      <c r="I21" s="4"/>
      <c r="J21" s="4"/>
      <c r="K21" s="4"/>
    </row>
    <row r="22" spans="1:11" s="32" customFormat="1" ht="30" customHeight="1">
      <c r="A22" s="29" t="s">
        <v>34</v>
      </c>
      <c r="B22" s="29" t="s">
        <v>35</v>
      </c>
      <c r="C22" s="30" t="s">
        <v>36</v>
      </c>
      <c r="D22" s="29" t="s">
        <v>15</v>
      </c>
      <c r="E22" s="31">
        <f>ROUND(132*3.5,2)</f>
        <v>462</v>
      </c>
      <c r="F22" s="31">
        <v>5.38</v>
      </c>
      <c r="G22" s="31">
        <f t="shared" si="0"/>
        <v>2485.56</v>
      </c>
      <c r="H22" s="18"/>
      <c r="I22" s="4"/>
      <c r="J22" s="4"/>
      <c r="K22" s="4"/>
    </row>
    <row r="23" spans="1:11" s="32" customFormat="1" ht="45" customHeight="1">
      <c r="A23" s="29" t="s">
        <v>37</v>
      </c>
      <c r="B23" s="29" t="s">
        <v>38</v>
      </c>
      <c r="C23" s="30" t="s">
        <v>39</v>
      </c>
      <c r="D23" s="29" t="s">
        <v>40</v>
      </c>
      <c r="E23" s="31">
        <f>ROUND(44*3.5*60,2)</f>
        <v>9240</v>
      </c>
      <c r="F23" s="31">
        <v>0.11</v>
      </c>
      <c r="G23" s="31">
        <f t="shared" si="0"/>
        <v>1016.4</v>
      </c>
      <c r="H23" s="18"/>
      <c r="I23" s="4"/>
      <c r="J23" s="4"/>
      <c r="K23" s="4"/>
    </row>
    <row r="24" spans="1:11" s="32" customFormat="1" ht="45" customHeight="1">
      <c r="A24" s="29" t="s">
        <v>41</v>
      </c>
      <c r="B24" s="29" t="s">
        <v>42</v>
      </c>
      <c r="C24" s="30" t="s">
        <v>43</v>
      </c>
      <c r="D24" s="29" t="s">
        <v>15</v>
      </c>
      <c r="E24" s="31">
        <f>ROUND(44*3.5,2)</f>
        <v>154</v>
      </c>
      <c r="F24" s="31">
        <v>0.63</v>
      </c>
      <c r="G24" s="31">
        <f t="shared" si="0"/>
        <v>97.02</v>
      </c>
      <c r="H24" s="18"/>
      <c r="I24" s="4"/>
      <c r="J24" s="4"/>
      <c r="K24" s="4"/>
    </row>
    <row r="25" spans="1:11" s="32" customFormat="1" ht="45" customHeight="1">
      <c r="A25" s="29" t="s">
        <v>44</v>
      </c>
      <c r="B25" s="29" t="s">
        <v>45</v>
      </c>
      <c r="C25" s="30" t="s">
        <v>46</v>
      </c>
      <c r="D25" s="29" t="s">
        <v>15</v>
      </c>
      <c r="E25" s="31">
        <f>ROUND(44*0.9,2)</f>
        <v>39.6</v>
      </c>
      <c r="F25" s="31">
        <v>0.99</v>
      </c>
      <c r="G25" s="31">
        <f t="shared" si="0"/>
        <v>39.2</v>
      </c>
      <c r="H25" s="18"/>
      <c r="I25" s="4"/>
      <c r="J25" s="4"/>
      <c r="K25" s="4"/>
    </row>
    <row r="26" spans="1:11" s="32" customFormat="1" ht="15" customHeight="1">
      <c r="A26" s="29" t="s">
        <v>47</v>
      </c>
      <c r="B26" s="29" t="s">
        <v>48</v>
      </c>
      <c r="C26" s="30" t="s">
        <v>49</v>
      </c>
      <c r="D26" s="29" t="s">
        <v>50</v>
      </c>
      <c r="E26" s="31">
        <f>ROUND(12*120,2)</f>
        <v>1440</v>
      </c>
      <c r="F26" s="31">
        <v>13.76</v>
      </c>
      <c r="G26" s="31">
        <f t="shared" si="0"/>
        <v>19814.4</v>
      </c>
      <c r="H26" s="18"/>
      <c r="I26" s="4"/>
      <c r="J26" s="4"/>
      <c r="K26" s="4"/>
    </row>
    <row r="27" spans="1:11" s="32" customFormat="1" ht="120" customHeight="1">
      <c r="A27" s="29" t="s">
        <v>51</v>
      </c>
      <c r="B27" s="29" t="s">
        <v>52</v>
      </c>
      <c r="C27" s="30" t="s">
        <v>53</v>
      </c>
      <c r="D27" s="29" t="s">
        <v>54</v>
      </c>
      <c r="E27" s="31">
        <v>38.41</v>
      </c>
      <c r="F27" s="31">
        <v>25.79</v>
      </c>
      <c r="G27" s="31">
        <f t="shared" si="0"/>
        <v>990.59</v>
      </c>
      <c r="H27" s="18"/>
      <c r="I27" s="4"/>
      <c r="J27" s="4"/>
      <c r="K27" s="4"/>
    </row>
    <row r="28" spans="1:8" ht="45" customHeight="1">
      <c r="A28" s="29" t="s">
        <v>55</v>
      </c>
      <c r="B28" s="29" t="s">
        <v>56</v>
      </c>
      <c r="C28" s="30" t="s">
        <v>57</v>
      </c>
      <c r="D28" s="29" t="s">
        <v>15</v>
      </c>
      <c r="E28" s="31">
        <v>2192.69</v>
      </c>
      <c r="F28" s="31">
        <v>0.96</v>
      </c>
      <c r="G28" s="31">
        <f t="shared" si="0"/>
        <v>2104.98</v>
      </c>
      <c r="H28" s="18"/>
    </row>
    <row r="29" spans="1:11" s="32" customFormat="1" ht="60" customHeight="1">
      <c r="A29" s="29" t="s">
        <v>58</v>
      </c>
      <c r="B29" s="33" t="s">
        <v>59</v>
      </c>
      <c r="C29" s="34" t="s">
        <v>60</v>
      </c>
      <c r="D29" s="35" t="s">
        <v>61</v>
      </c>
      <c r="E29" s="31">
        <f>ROUND(132+27.5,2)</f>
        <v>159.5</v>
      </c>
      <c r="F29" s="31">
        <v>16.22</v>
      </c>
      <c r="G29" s="31">
        <f t="shared" si="0"/>
        <v>2587.09</v>
      </c>
      <c r="H29" s="18"/>
      <c r="I29" s="4"/>
      <c r="J29" s="4"/>
      <c r="K29" s="4"/>
    </row>
    <row r="30" spans="1:8" ht="9.75" customHeight="1">
      <c r="A30" s="19"/>
      <c r="B30" s="19"/>
      <c r="C30" s="36"/>
      <c r="D30" s="19"/>
      <c r="E30" s="37"/>
      <c r="F30" s="37"/>
      <c r="G30" s="37"/>
      <c r="H30" s="18"/>
    </row>
    <row r="31" spans="1:8" s="26" customFormat="1" ht="19.5" customHeight="1">
      <c r="A31" s="21" t="s">
        <v>62</v>
      </c>
      <c r="B31" s="22"/>
      <c r="C31" s="38" t="s">
        <v>63</v>
      </c>
      <c r="D31" s="22"/>
      <c r="E31" s="39"/>
      <c r="F31" s="39"/>
      <c r="G31" s="24">
        <f>ROUND(G32+G43+G49+G60+G72+G90+G106,2)</f>
        <v>51316.07</v>
      </c>
      <c r="H31" s="25"/>
    </row>
    <row r="32" spans="1:8" ht="19.5" customHeight="1">
      <c r="A32" s="40" t="s">
        <v>64</v>
      </c>
      <c r="B32" s="40"/>
      <c r="C32" s="41" t="s">
        <v>65</v>
      </c>
      <c r="D32" s="40"/>
      <c r="E32" s="42"/>
      <c r="F32" s="42"/>
      <c r="G32" s="42">
        <f>SUM(G34:G41)</f>
        <v>10369.98</v>
      </c>
      <c r="H32" s="18"/>
    </row>
    <row r="33" spans="1:8" ht="9.75" customHeight="1">
      <c r="A33" s="43"/>
      <c r="B33" s="43"/>
      <c r="C33" s="44"/>
      <c r="D33" s="43"/>
      <c r="E33" s="45"/>
      <c r="F33" s="45"/>
      <c r="G33" s="45"/>
      <c r="H33" s="43"/>
    </row>
    <row r="34" spans="1:8" ht="45" customHeight="1">
      <c r="A34" s="29" t="s">
        <v>66</v>
      </c>
      <c r="B34" s="29" t="s">
        <v>67</v>
      </c>
      <c r="C34" s="30" t="s">
        <v>68</v>
      </c>
      <c r="D34" s="29" t="s">
        <v>69</v>
      </c>
      <c r="E34" s="31">
        <f>ROUND((31.1*0.5*0.3)+(1.3*1.3*0.5*8),2)</f>
        <v>11.43</v>
      </c>
      <c r="F34" s="31">
        <v>45.8</v>
      </c>
      <c r="G34" s="31">
        <f aca="true" t="shared" si="1" ref="G34:G41">ROUND(E34*F34,2)</f>
        <v>523.49</v>
      </c>
      <c r="H34" s="18"/>
    </row>
    <row r="35" spans="1:8" ht="60" customHeight="1">
      <c r="A35" s="46" t="s">
        <v>70</v>
      </c>
      <c r="B35" s="29" t="s">
        <v>71</v>
      </c>
      <c r="C35" s="30" t="s">
        <v>72</v>
      </c>
      <c r="D35" s="29" t="s">
        <v>69</v>
      </c>
      <c r="E35" s="31">
        <f>ROUND((31.1*0.12*0.05)+(0.8*0.8*0.07*8),2)</f>
        <v>0.55</v>
      </c>
      <c r="F35" s="31">
        <v>351.14</v>
      </c>
      <c r="G35" s="31">
        <f t="shared" si="1"/>
        <v>193.13</v>
      </c>
      <c r="H35" s="18"/>
    </row>
    <row r="36" spans="1:11" s="32" customFormat="1" ht="45" customHeight="1">
      <c r="A36" s="29" t="s">
        <v>73</v>
      </c>
      <c r="B36" s="47" t="s">
        <v>74</v>
      </c>
      <c r="C36" s="30" t="s">
        <v>75</v>
      </c>
      <c r="D36" s="29" t="s">
        <v>69</v>
      </c>
      <c r="E36" s="31">
        <f>E34*0.3</f>
        <v>3.429</v>
      </c>
      <c r="F36" s="31">
        <v>28.29</v>
      </c>
      <c r="G36" s="31">
        <f t="shared" si="1"/>
        <v>97.01</v>
      </c>
      <c r="H36" s="18"/>
      <c r="I36" s="4"/>
      <c r="J36" s="4"/>
      <c r="K36" s="4"/>
    </row>
    <row r="37" spans="1:8" ht="90" customHeight="1">
      <c r="A37" s="48" t="s">
        <v>76</v>
      </c>
      <c r="B37" s="29" t="s">
        <v>77</v>
      </c>
      <c r="C37" s="30" t="s">
        <v>78</v>
      </c>
      <c r="D37" s="29" t="s">
        <v>69</v>
      </c>
      <c r="E37" s="31">
        <f>ROUND((31.1*0.12*0.3)+(0.8*0.8*0.4*8)+(2.6*0.12*0.3*6)+(4.9*0.12*0.3*2)+(1.5*0.12*0.3)+(31.1*0.12*0.3)+(9.7*0.12*0.3),2)</f>
        <v>5.6</v>
      </c>
      <c r="F37" s="31">
        <v>1559.86</v>
      </c>
      <c r="G37" s="31">
        <f t="shared" si="1"/>
        <v>8735.22</v>
      </c>
      <c r="H37" s="18"/>
    </row>
    <row r="38" spans="1:8" ht="75" customHeight="1">
      <c r="A38" s="49" t="s">
        <v>79</v>
      </c>
      <c r="B38" s="49" t="s">
        <v>80</v>
      </c>
      <c r="C38" s="50" t="s">
        <v>81</v>
      </c>
      <c r="D38" s="49" t="s">
        <v>15</v>
      </c>
      <c r="E38" s="51">
        <f>ROUND(2.6*2.25,2)</f>
        <v>5.85</v>
      </c>
      <c r="F38" s="51">
        <v>102.82</v>
      </c>
      <c r="G38" s="52">
        <f t="shared" si="1"/>
        <v>601.5</v>
      </c>
      <c r="H38" s="18"/>
    </row>
    <row r="39" spans="1:11" s="32" customFormat="1" ht="30" customHeight="1">
      <c r="A39" s="29" t="s">
        <v>82</v>
      </c>
      <c r="B39" s="29" t="s">
        <v>83</v>
      </c>
      <c r="C39" s="30" t="s">
        <v>84</v>
      </c>
      <c r="D39" s="29" t="s">
        <v>69</v>
      </c>
      <c r="E39" s="31">
        <f>ROUND((7.99+7.99+4.49)*0.2,2)</f>
        <v>4.09</v>
      </c>
      <c r="F39" s="31">
        <v>10</v>
      </c>
      <c r="G39" s="31">
        <f t="shared" si="1"/>
        <v>40.9</v>
      </c>
      <c r="H39" s="18"/>
      <c r="I39" s="4"/>
      <c r="J39" s="4"/>
      <c r="K39" s="4"/>
    </row>
    <row r="40" spans="1:11" s="32" customFormat="1" ht="45" customHeight="1">
      <c r="A40" s="29" t="s">
        <v>85</v>
      </c>
      <c r="B40" s="29" t="s">
        <v>86</v>
      </c>
      <c r="C40" s="30" t="s">
        <v>87</v>
      </c>
      <c r="D40" s="29" t="s">
        <v>69</v>
      </c>
      <c r="E40" s="31">
        <f>ROUND((7.99+7.99+4.49)*0.2,2)</f>
        <v>4.09</v>
      </c>
      <c r="F40" s="31">
        <v>1.7</v>
      </c>
      <c r="G40" s="31">
        <f t="shared" si="1"/>
        <v>6.95</v>
      </c>
      <c r="H40" s="18"/>
      <c r="I40" s="4"/>
      <c r="J40" s="4"/>
      <c r="K40" s="4"/>
    </row>
    <row r="41" spans="1:11" s="32" customFormat="1" ht="75" customHeight="1">
      <c r="A41" s="29" t="s">
        <v>88</v>
      </c>
      <c r="B41" s="29" t="s">
        <v>89</v>
      </c>
      <c r="C41" s="30" t="s">
        <v>90</v>
      </c>
      <c r="D41" s="29" t="s">
        <v>91</v>
      </c>
      <c r="E41" s="31">
        <f>ROUND(E39*1.4*1*60,2)</f>
        <v>343.56</v>
      </c>
      <c r="F41" s="31">
        <v>0.5</v>
      </c>
      <c r="G41" s="31">
        <f t="shared" si="1"/>
        <v>171.78</v>
      </c>
      <c r="H41" s="18"/>
      <c r="I41" s="4"/>
      <c r="J41" s="4"/>
      <c r="K41" s="4"/>
    </row>
    <row r="42" spans="1:8" ht="9.75" customHeight="1">
      <c r="A42" s="43"/>
      <c r="B42" s="43"/>
      <c r="C42" s="44"/>
      <c r="D42" s="43"/>
      <c r="E42" s="45"/>
      <c r="F42" s="45"/>
      <c r="G42" s="45"/>
      <c r="H42" s="43"/>
    </row>
    <row r="43" spans="1:8" ht="19.5" customHeight="1">
      <c r="A43" s="53" t="s">
        <v>92</v>
      </c>
      <c r="B43" s="53"/>
      <c r="C43" s="54" t="s">
        <v>93</v>
      </c>
      <c r="D43" s="53"/>
      <c r="E43" s="55"/>
      <c r="F43" s="55"/>
      <c r="G43" s="55">
        <f>SUM(G45:G47)</f>
        <v>6766.139999999999</v>
      </c>
      <c r="H43" s="18"/>
    </row>
    <row r="44" spans="1:8" ht="9.75" customHeight="1">
      <c r="A44" s="43"/>
      <c r="B44" s="43"/>
      <c r="C44" s="44"/>
      <c r="D44" s="43"/>
      <c r="E44" s="45"/>
      <c r="F44" s="45"/>
      <c r="G44" s="45"/>
      <c r="H44" s="43"/>
    </row>
    <row r="45" spans="1:8" ht="60" customHeight="1">
      <c r="A45" s="29" t="s">
        <v>94</v>
      </c>
      <c r="B45" s="29" t="s">
        <v>95</v>
      </c>
      <c r="C45" s="30" t="s">
        <v>96</v>
      </c>
      <c r="D45" s="29" t="s">
        <v>15</v>
      </c>
      <c r="E45" s="31">
        <f>ROUND((31.1*2.6)+(9.7*1.9),2)</f>
        <v>99.29</v>
      </c>
      <c r="F45" s="31">
        <v>50.25</v>
      </c>
      <c r="G45" s="31">
        <f>ROUND(E45*F45,2)</f>
        <v>4989.32</v>
      </c>
      <c r="H45" s="18"/>
    </row>
    <row r="46" spans="1:8" ht="30" customHeight="1">
      <c r="A46" s="29" t="s">
        <v>97</v>
      </c>
      <c r="B46" s="29" t="s">
        <v>98</v>
      </c>
      <c r="C46" s="30" t="s">
        <v>99</v>
      </c>
      <c r="D46" s="29" t="s">
        <v>69</v>
      </c>
      <c r="E46" s="31">
        <f>ROUND(2.1*0.1*0.1*5,2)</f>
        <v>0.11</v>
      </c>
      <c r="F46" s="31">
        <v>1424.89</v>
      </c>
      <c r="G46" s="31">
        <f>ROUND(E46*F46,2)</f>
        <v>156.74</v>
      </c>
      <c r="H46" s="18"/>
    </row>
    <row r="47" spans="1:8" ht="45" customHeight="1">
      <c r="A47" s="29" t="s">
        <v>100</v>
      </c>
      <c r="B47" s="18" t="s">
        <v>101</v>
      </c>
      <c r="C47" s="28" t="s">
        <v>102</v>
      </c>
      <c r="D47" s="18" t="s">
        <v>15</v>
      </c>
      <c r="E47" s="31">
        <f>ROUND(3.3*1.8,2)</f>
        <v>5.94</v>
      </c>
      <c r="F47" s="31">
        <v>272.74</v>
      </c>
      <c r="G47" s="31">
        <f>ROUND(E47*F47,2)</f>
        <v>1620.08</v>
      </c>
      <c r="H47" s="18"/>
    </row>
    <row r="48" spans="1:8" ht="9.75" customHeight="1">
      <c r="A48" s="18"/>
      <c r="B48" s="18"/>
      <c r="C48" s="28"/>
      <c r="D48" s="18"/>
      <c r="E48" s="56"/>
      <c r="F48" s="56"/>
      <c r="G48" s="56"/>
      <c r="H48" s="18"/>
    </row>
    <row r="49" spans="1:8" ht="19.5" customHeight="1">
      <c r="A49" s="53" t="s">
        <v>103</v>
      </c>
      <c r="B49" s="53"/>
      <c r="C49" s="54" t="s">
        <v>104</v>
      </c>
      <c r="D49" s="53"/>
      <c r="E49" s="55"/>
      <c r="F49" s="55"/>
      <c r="G49" s="55">
        <f>SUM(G51:G58)</f>
        <v>10988.429999999998</v>
      </c>
      <c r="H49" s="18"/>
    </row>
    <row r="50" spans="1:8" s="32" customFormat="1" ht="9.75" customHeight="1">
      <c r="A50" s="18"/>
      <c r="B50" s="18"/>
      <c r="C50" s="28"/>
      <c r="D50" s="18"/>
      <c r="E50" s="56"/>
      <c r="F50" s="56"/>
      <c r="G50" s="56"/>
      <c r="H50" s="18"/>
    </row>
    <row r="51" spans="1:8" s="32" customFormat="1" ht="60" customHeight="1">
      <c r="A51" s="29" t="s">
        <v>105</v>
      </c>
      <c r="B51" s="29" t="s">
        <v>106</v>
      </c>
      <c r="C51" s="30" t="s">
        <v>107</v>
      </c>
      <c r="D51" s="29" t="s">
        <v>15</v>
      </c>
      <c r="E51" s="31">
        <f>ROUND((26.9*2.6)+(9.7*1.9),2)</f>
        <v>88.37</v>
      </c>
      <c r="F51" s="31">
        <v>24.41</v>
      </c>
      <c r="G51" s="31">
        <f aca="true" t="shared" si="2" ref="G51:G58">ROUND(E51*F51,2)</f>
        <v>2157.11</v>
      </c>
      <c r="H51" s="18"/>
    </row>
    <row r="52" spans="1:8" s="32" customFormat="1" ht="39.75" customHeight="1">
      <c r="A52" s="29" t="s">
        <v>108</v>
      </c>
      <c r="B52" s="29" t="s">
        <v>109</v>
      </c>
      <c r="C52" s="30" t="s">
        <v>110</v>
      </c>
      <c r="D52" s="29" t="s">
        <v>15</v>
      </c>
      <c r="E52" s="31">
        <f>ROUND((8.5*1.9)+(4.49),2)</f>
        <v>20.64</v>
      </c>
      <c r="F52" s="31">
        <v>4.53</v>
      </c>
      <c r="G52" s="31">
        <f t="shared" si="2"/>
        <v>93.5</v>
      </c>
      <c r="H52" s="18"/>
    </row>
    <row r="53" spans="1:8" s="32" customFormat="1" ht="60" customHeight="1">
      <c r="A53" s="29" t="s">
        <v>111</v>
      </c>
      <c r="B53" s="29" t="s">
        <v>112</v>
      </c>
      <c r="C53" s="30" t="s">
        <v>113</v>
      </c>
      <c r="D53" s="29" t="s">
        <v>15</v>
      </c>
      <c r="E53" s="31">
        <f>ROUND((8.5*1.9)+(4.49),2)</f>
        <v>20.64</v>
      </c>
      <c r="F53" s="31">
        <v>21.4</v>
      </c>
      <c r="G53" s="31">
        <f t="shared" si="2"/>
        <v>441.7</v>
      </c>
      <c r="H53" s="18"/>
    </row>
    <row r="54" spans="1:8" s="32" customFormat="1" ht="60" customHeight="1">
      <c r="A54" s="29" t="s">
        <v>114</v>
      </c>
      <c r="B54" s="29" t="s">
        <v>115</v>
      </c>
      <c r="C54" s="30" t="s">
        <v>116</v>
      </c>
      <c r="D54" s="29" t="s">
        <v>15</v>
      </c>
      <c r="E54" s="31">
        <f>ROUND((11.6*2.6)+(11.6*2.6)+(8.5*2.6),2)</f>
        <v>82.42</v>
      </c>
      <c r="F54" s="31">
        <v>74.59</v>
      </c>
      <c r="G54" s="31">
        <f t="shared" si="2"/>
        <v>6147.71</v>
      </c>
      <c r="H54" s="18"/>
    </row>
    <row r="55" spans="1:8" s="32" customFormat="1" ht="60" customHeight="1">
      <c r="A55" s="29" t="s">
        <v>117</v>
      </c>
      <c r="B55" s="29" t="s">
        <v>71</v>
      </c>
      <c r="C55" s="30" t="s">
        <v>118</v>
      </c>
      <c r="D55" s="29" t="s">
        <v>69</v>
      </c>
      <c r="E55" s="31">
        <f>ROUND((7.99+7.99+4.49)*0.05,2)</f>
        <v>1.02</v>
      </c>
      <c r="F55" s="31">
        <v>351.14</v>
      </c>
      <c r="G55" s="31">
        <f t="shared" si="2"/>
        <v>358.16</v>
      </c>
      <c r="H55" s="18"/>
    </row>
    <row r="56" spans="1:8" s="32" customFormat="1" ht="39.75" customHeight="1">
      <c r="A56" s="29" t="s">
        <v>119</v>
      </c>
      <c r="B56" s="29" t="s">
        <v>120</v>
      </c>
      <c r="C56" s="30" t="s">
        <v>121</v>
      </c>
      <c r="D56" s="29" t="s">
        <v>15</v>
      </c>
      <c r="E56" s="31">
        <f>ROUND(7.99+7.99+4.49,2)</f>
        <v>20.47</v>
      </c>
      <c r="F56" s="31">
        <v>25.24</v>
      </c>
      <c r="G56" s="31">
        <f t="shared" si="2"/>
        <v>516.66</v>
      </c>
      <c r="H56" s="18"/>
    </row>
    <row r="57" spans="1:8" s="32" customFormat="1" ht="75" customHeight="1">
      <c r="A57" s="29" t="s">
        <v>122</v>
      </c>
      <c r="B57" s="29" t="s">
        <v>123</v>
      </c>
      <c r="C57" s="30" t="s">
        <v>124</v>
      </c>
      <c r="D57" s="29" t="s">
        <v>15</v>
      </c>
      <c r="E57" s="31">
        <f>ROUND(7.99+7.99+4.49,2)</f>
        <v>20.47</v>
      </c>
      <c r="F57" s="31">
        <v>57.46</v>
      </c>
      <c r="G57" s="31">
        <f t="shared" si="2"/>
        <v>1176.21</v>
      </c>
      <c r="H57" s="18"/>
    </row>
    <row r="58" spans="1:8" s="32" customFormat="1" ht="60" customHeight="1">
      <c r="A58" s="29" t="s">
        <v>125</v>
      </c>
      <c r="B58" s="29" t="s">
        <v>126</v>
      </c>
      <c r="C58" s="30" t="s">
        <v>127</v>
      </c>
      <c r="D58" s="29" t="s">
        <v>61</v>
      </c>
      <c r="E58" s="31">
        <f>ROUND(0.8+0.8+0.9,2)</f>
        <v>2.5</v>
      </c>
      <c r="F58" s="31">
        <v>38.95</v>
      </c>
      <c r="G58" s="31">
        <f t="shared" si="2"/>
        <v>97.38</v>
      </c>
      <c r="H58" s="18"/>
    </row>
    <row r="59" spans="1:8" s="32" customFormat="1" ht="9.75" customHeight="1">
      <c r="A59" s="18"/>
      <c r="B59" s="18"/>
      <c r="C59" s="28"/>
      <c r="D59" s="18"/>
      <c r="E59" s="56"/>
      <c r="F59" s="56"/>
      <c r="G59" s="56"/>
      <c r="H59" s="18"/>
    </row>
    <row r="60" spans="1:8" ht="19.5" customHeight="1">
      <c r="A60" s="53" t="s">
        <v>128</v>
      </c>
      <c r="B60" s="53"/>
      <c r="C60" s="54" t="s">
        <v>129</v>
      </c>
      <c r="D60" s="53"/>
      <c r="E60" s="55"/>
      <c r="F60" s="55"/>
      <c r="G60" s="55">
        <f>SUM(G62:G70)</f>
        <v>7792.470000000001</v>
      </c>
      <c r="H60" s="18"/>
    </row>
    <row r="61" spans="1:8" s="32" customFormat="1" ht="9.75" customHeight="1">
      <c r="A61" s="18"/>
      <c r="B61" s="18"/>
      <c r="C61" s="28"/>
      <c r="D61" s="18"/>
      <c r="E61" s="56"/>
      <c r="F61" s="56"/>
      <c r="G61" s="56"/>
      <c r="H61" s="18"/>
    </row>
    <row r="62" spans="1:8" s="32" customFormat="1" ht="45" customHeight="1">
      <c r="A62" s="29" t="s">
        <v>130</v>
      </c>
      <c r="B62" s="29" t="s">
        <v>131</v>
      </c>
      <c r="C62" s="30" t="s">
        <v>132</v>
      </c>
      <c r="D62" s="29" t="s">
        <v>15</v>
      </c>
      <c r="E62" s="31">
        <f>ROUND(0.6*1.65*5,2)</f>
        <v>4.95</v>
      </c>
      <c r="F62" s="31">
        <v>570.85</v>
      </c>
      <c r="G62" s="31">
        <f aca="true" t="shared" si="3" ref="G62:G70">ROUND(E62*F62,2)</f>
        <v>2825.71</v>
      </c>
      <c r="H62" s="18"/>
    </row>
    <row r="63" spans="1:8" s="32" customFormat="1" ht="30" customHeight="1">
      <c r="A63" s="29" t="s">
        <v>133</v>
      </c>
      <c r="B63" s="29" t="s">
        <v>134</v>
      </c>
      <c r="C63" s="30" t="s">
        <v>135</v>
      </c>
      <c r="D63" s="29" t="s">
        <v>15</v>
      </c>
      <c r="E63" s="31">
        <f>ROUND(0.8*1.5*3,2)</f>
        <v>3.6</v>
      </c>
      <c r="F63" s="31">
        <v>746.8</v>
      </c>
      <c r="G63" s="31">
        <f t="shared" si="3"/>
        <v>2688.48</v>
      </c>
      <c r="H63" s="18"/>
    </row>
    <row r="64" spans="1:8" s="32" customFormat="1" ht="45" customHeight="1">
      <c r="A64" s="29" t="s">
        <v>136</v>
      </c>
      <c r="B64" s="29" t="s">
        <v>137</v>
      </c>
      <c r="C64" s="30" t="s">
        <v>138</v>
      </c>
      <c r="D64" s="29" t="s">
        <v>22</v>
      </c>
      <c r="E64" s="31">
        <v>1</v>
      </c>
      <c r="F64" s="31">
        <v>229.18</v>
      </c>
      <c r="G64" s="31">
        <f t="shared" si="3"/>
        <v>229.18</v>
      </c>
      <c r="H64" s="18"/>
    </row>
    <row r="65" spans="1:8" s="32" customFormat="1" ht="39.75" customHeight="1">
      <c r="A65" s="29" t="s">
        <v>139</v>
      </c>
      <c r="B65" s="29" t="s">
        <v>140</v>
      </c>
      <c r="C65" s="30" t="s">
        <v>141</v>
      </c>
      <c r="D65" s="29" t="s">
        <v>22</v>
      </c>
      <c r="E65" s="31">
        <v>2</v>
      </c>
      <c r="F65" s="31">
        <v>401.63</v>
      </c>
      <c r="G65" s="31">
        <f t="shared" si="3"/>
        <v>803.26</v>
      </c>
      <c r="H65" s="18"/>
    </row>
    <row r="66" spans="1:8" ht="90" customHeight="1">
      <c r="A66" s="29" t="s">
        <v>142</v>
      </c>
      <c r="B66" s="29" t="s">
        <v>143</v>
      </c>
      <c r="C66" s="30" t="s">
        <v>144</v>
      </c>
      <c r="D66" s="29" t="s">
        <v>22</v>
      </c>
      <c r="E66" s="31">
        <v>3</v>
      </c>
      <c r="F66" s="31">
        <v>73.58</v>
      </c>
      <c r="G66" s="31">
        <f t="shared" si="3"/>
        <v>220.74</v>
      </c>
      <c r="H66" s="18"/>
    </row>
    <row r="67" spans="1:8" s="32" customFormat="1" ht="39.75" customHeight="1">
      <c r="A67" s="29" t="s">
        <v>145</v>
      </c>
      <c r="B67" s="29" t="s">
        <v>146</v>
      </c>
      <c r="C67" s="30" t="s">
        <v>147</v>
      </c>
      <c r="D67" s="29" t="s">
        <v>22</v>
      </c>
      <c r="E67" s="31">
        <v>3</v>
      </c>
      <c r="F67" s="31">
        <v>1.38</v>
      </c>
      <c r="G67" s="31">
        <f t="shared" si="3"/>
        <v>4.14</v>
      </c>
      <c r="H67" s="18"/>
    </row>
    <row r="68" spans="1:8" s="32" customFormat="1" ht="30" customHeight="1">
      <c r="A68" s="29" t="s">
        <v>148</v>
      </c>
      <c r="B68" s="46" t="s">
        <v>149</v>
      </c>
      <c r="C68" s="57" t="s">
        <v>150</v>
      </c>
      <c r="D68" s="46" t="s">
        <v>15</v>
      </c>
      <c r="E68" s="31">
        <f>ROUND(0.6*1.65*5,2)</f>
        <v>4.95</v>
      </c>
      <c r="F68" s="31">
        <v>68.54</v>
      </c>
      <c r="G68" s="31">
        <f t="shared" si="3"/>
        <v>339.27</v>
      </c>
      <c r="H68" s="18"/>
    </row>
    <row r="69" spans="1:8" s="32" customFormat="1" ht="45" customHeight="1">
      <c r="A69" s="29" t="s">
        <v>151</v>
      </c>
      <c r="B69" s="29" t="s">
        <v>152</v>
      </c>
      <c r="C69" s="30" t="s">
        <v>153</v>
      </c>
      <c r="D69" s="29" t="s">
        <v>22</v>
      </c>
      <c r="E69" s="31">
        <v>3</v>
      </c>
      <c r="F69" s="31">
        <v>102.84</v>
      </c>
      <c r="G69" s="31">
        <f t="shared" si="3"/>
        <v>308.52</v>
      </c>
      <c r="H69" s="18"/>
    </row>
    <row r="70" spans="1:8" s="32" customFormat="1" ht="45" customHeight="1">
      <c r="A70" s="29" t="s">
        <v>154</v>
      </c>
      <c r="B70" s="29" t="s">
        <v>155</v>
      </c>
      <c r="C70" s="30" t="s">
        <v>156</v>
      </c>
      <c r="D70" s="29" t="s">
        <v>22</v>
      </c>
      <c r="E70" s="31">
        <v>3</v>
      </c>
      <c r="F70" s="31">
        <v>124.39</v>
      </c>
      <c r="G70" s="31">
        <f t="shared" si="3"/>
        <v>373.17</v>
      </c>
      <c r="H70" s="18"/>
    </row>
    <row r="71" spans="1:8" s="32" customFormat="1" ht="9.75" customHeight="1">
      <c r="A71" s="48"/>
      <c r="B71" s="48"/>
      <c r="C71" s="58"/>
      <c r="D71" s="48"/>
      <c r="E71" s="52"/>
      <c r="F71" s="52"/>
      <c r="G71" s="52"/>
      <c r="H71" s="18"/>
    </row>
    <row r="72" spans="1:8" s="32" customFormat="1" ht="19.5" customHeight="1">
      <c r="A72" s="53" t="s">
        <v>157</v>
      </c>
      <c r="B72" s="53"/>
      <c r="C72" s="54" t="s">
        <v>158</v>
      </c>
      <c r="D72" s="53"/>
      <c r="E72" s="55"/>
      <c r="F72" s="55"/>
      <c r="G72" s="55">
        <f>SUM(G74:G88)</f>
        <v>9310.9</v>
      </c>
      <c r="H72" s="18"/>
    </row>
    <row r="73" spans="1:8" s="32" customFormat="1" ht="9.75" customHeight="1">
      <c r="A73" s="18"/>
      <c r="B73" s="18"/>
      <c r="C73" s="28"/>
      <c r="D73" s="18"/>
      <c r="E73" s="56"/>
      <c r="F73" s="56"/>
      <c r="G73" s="56"/>
      <c r="H73" s="18"/>
    </row>
    <row r="74" spans="1:8" s="32" customFormat="1" ht="90" customHeight="1">
      <c r="A74" s="29" t="s">
        <v>159</v>
      </c>
      <c r="B74" s="29" t="s">
        <v>160</v>
      </c>
      <c r="C74" s="30" t="s">
        <v>161</v>
      </c>
      <c r="D74" s="29" t="s">
        <v>22</v>
      </c>
      <c r="E74" s="31">
        <v>4</v>
      </c>
      <c r="F74" s="31">
        <v>280.1</v>
      </c>
      <c r="G74" s="31">
        <f aca="true" t="shared" si="4" ref="G74:G88">ROUND(E74*F74,2)</f>
        <v>1120.4</v>
      </c>
      <c r="H74" s="18"/>
    </row>
    <row r="75" spans="1:8" s="32" customFormat="1" ht="90" customHeight="1">
      <c r="A75" s="46" t="s">
        <v>162</v>
      </c>
      <c r="B75" s="46" t="s">
        <v>163</v>
      </c>
      <c r="C75" s="57" t="s">
        <v>164</v>
      </c>
      <c r="D75" s="46" t="s">
        <v>22</v>
      </c>
      <c r="E75" s="59">
        <v>4</v>
      </c>
      <c r="F75" s="59">
        <v>330.43</v>
      </c>
      <c r="G75" s="59">
        <f t="shared" si="4"/>
        <v>1321.72</v>
      </c>
      <c r="H75" s="18"/>
    </row>
    <row r="76" spans="1:8" s="32" customFormat="1" ht="75" customHeight="1">
      <c r="A76" s="46" t="s">
        <v>165</v>
      </c>
      <c r="B76" s="46" t="s">
        <v>166</v>
      </c>
      <c r="C76" s="57" t="s">
        <v>167</v>
      </c>
      <c r="D76" s="46" t="s">
        <v>22</v>
      </c>
      <c r="E76" s="59">
        <v>2</v>
      </c>
      <c r="F76" s="59">
        <v>57.79</v>
      </c>
      <c r="G76" s="59">
        <f t="shared" si="4"/>
        <v>115.58</v>
      </c>
      <c r="H76" s="18"/>
    </row>
    <row r="77" spans="1:8" s="32" customFormat="1" ht="60" customHeight="1">
      <c r="A77" s="46" t="s">
        <v>168</v>
      </c>
      <c r="B77" s="46" t="s">
        <v>169</v>
      </c>
      <c r="C77" s="57" t="s">
        <v>170</v>
      </c>
      <c r="D77" s="46" t="s">
        <v>22</v>
      </c>
      <c r="E77" s="59">
        <v>1</v>
      </c>
      <c r="F77" s="59">
        <v>143.11</v>
      </c>
      <c r="G77" s="59">
        <f t="shared" si="4"/>
        <v>143.11</v>
      </c>
      <c r="H77" s="18"/>
    </row>
    <row r="78" spans="1:8" s="32" customFormat="1" ht="45" customHeight="1">
      <c r="A78" s="46" t="s">
        <v>171</v>
      </c>
      <c r="B78" s="46" t="s">
        <v>172</v>
      </c>
      <c r="C78" s="57" t="s">
        <v>173</v>
      </c>
      <c r="D78" s="46" t="s">
        <v>22</v>
      </c>
      <c r="E78" s="59">
        <v>1</v>
      </c>
      <c r="F78" s="59">
        <v>245.69</v>
      </c>
      <c r="G78" s="59">
        <f t="shared" si="4"/>
        <v>245.69</v>
      </c>
      <c r="H78" s="18"/>
    </row>
    <row r="79" spans="1:8" s="32" customFormat="1" ht="30" customHeight="1">
      <c r="A79" s="46" t="s">
        <v>174</v>
      </c>
      <c r="B79" s="46" t="s">
        <v>175</v>
      </c>
      <c r="C79" s="57" t="s">
        <v>176</v>
      </c>
      <c r="D79" s="46" t="s">
        <v>22</v>
      </c>
      <c r="E79" s="59">
        <v>1</v>
      </c>
      <c r="F79" s="59">
        <v>69.25</v>
      </c>
      <c r="G79" s="59">
        <f t="shared" si="4"/>
        <v>69.25</v>
      </c>
      <c r="H79" s="18"/>
    </row>
    <row r="80" spans="1:8" s="32" customFormat="1" ht="60" customHeight="1">
      <c r="A80" s="46" t="s">
        <v>177</v>
      </c>
      <c r="B80" s="46" t="s">
        <v>178</v>
      </c>
      <c r="C80" s="57" t="s">
        <v>179</v>
      </c>
      <c r="D80" s="46" t="s">
        <v>22</v>
      </c>
      <c r="E80" s="59">
        <v>1</v>
      </c>
      <c r="F80" s="59">
        <v>144.88</v>
      </c>
      <c r="G80" s="59">
        <f t="shared" si="4"/>
        <v>144.88</v>
      </c>
      <c r="H80" s="18"/>
    </row>
    <row r="81" spans="1:8" s="32" customFormat="1" ht="60" customHeight="1">
      <c r="A81" s="46" t="s">
        <v>180</v>
      </c>
      <c r="B81" s="46" t="s">
        <v>181</v>
      </c>
      <c r="C81" s="57" t="s">
        <v>182</v>
      </c>
      <c r="D81" s="46" t="s">
        <v>22</v>
      </c>
      <c r="E81" s="59">
        <v>2</v>
      </c>
      <c r="F81" s="59">
        <v>183.51</v>
      </c>
      <c r="G81" s="59">
        <f t="shared" si="4"/>
        <v>367.02</v>
      </c>
      <c r="H81" s="18"/>
    </row>
    <row r="82" spans="1:8" s="32" customFormat="1" ht="60" customHeight="1">
      <c r="A82" s="46" t="s">
        <v>183</v>
      </c>
      <c r="B82" s="46" t="s">
        <v>184</v>
      </c>
      <c r="C82" s="57" t="s">
        <v>185</v>
      </c>
      <c r="D82" s="46" t="s">
        <v>22</v>
      </c>
      <c r="E82" s="59">
        <v>4</v>
      </c>
      <c r="F82" s="59">
        <v>228.7</v>
      </c>
      <c r="G82" s="59">
        <f t="shared" si="4"/>
        <v>914.8</v>
      </c>
      <c r="H82" s="18"/>
    </row>
    <row r="83" spans="1:8" s="32" customFormat="1" ht="75" customHeight="1">
      <c r="A83" s="46" t="s">
        <v>186</v>
      </c>
      <c r="B83" s="46" t="s">
        <v>187</v>
      </c>
      <c r="C83" s="57" t="s">
        <v>188</v>
      </c>
      <c r="D83" s="46" t="s">
        <v>22</v>
      </c>
      <c r="E83" s="59">
        <v>1</v>
      </c>
      <c r="F83" s="59">
        <v>442.54</v>
      </c>
      <c r="G83" s="59">
        <f t="shared" si="4"/>
        <v>442.54</v>
      </c>
      <c r="H83" s="18"/>
    </row>
    <row r="84" spans="1:8" s="32" customFormat="1" ht="60" customHeight="1">
      <c r="A84" s="46" t="s">
        <v>189</v>
      </c>
      <c r="B84" s="46" t="s">
        <v>190</v>
      </c>
      <c r="C84" s="57" t="s">
        <v>191</v>
      </c>
      <c r="D84" s="46" t="s">
        <v>15</v>
      </c>
      <c r="E84" s="59">
        <f>ROUND(1.2*0.5*2,2)</f>
        <v>1.2</v>
      </c>
      <c r="F84" s="59">
        <v>382.33</v>
      </c>
      <c r="G84" s="59">
        <f t="shared" si="4"/>
        <v>458.8</v>
      </c>
      <c r="H84" s="18"/>
    </row>
    <row r="85" spans="1:8" s="32" customFormat="1" ht="30" customHeight="1">
      <c r="A85" s="46" t="s">
        <v>192</v>
      </c>
      <c r="B85" s="46" t="s">
        <v>193</v>
      </c>
      <c r="C85" s="57" t="s">
        <v>194</v>
      </c>
      <c r="D85" s="46" t="s">
        <v>15</v>
      </c>
      <c r="E85" s="59">
        <f>ROUND(2.5*0.9,2)</f>
        <v>2.25</v>
      </c>
      <c r="F85" s="59">
        <v>233.23</v>
      </c>
      <c r="G85" s="59">
        <f t="shared" si="4"/>
        <v>524.77</v>
      </c>
      <c r="H85" s="18"/>
    </row>
    <row r="86" spans="1:8" s="32" customFormat="1" ht="75" customHeight="1">
      <c r="A86" s="29" t="s">
        <v>195</v>
      </c>
      <c r="B86" s="29" t="s">
        <v>196</v>
      </c>
      <c r="C86" s="30" t="s">
        <v>197</v>
      </c>
      <c r="D86" s="29" t="s">
        <v>22</v>
      </c>
      <c r="E86" s="31">
        <v>1</v>
      </c>
      <c r="F86" s="31">
        <v>2718.72</v>
      </c>
      <c r="G86" s="31">
        <f t="shared" si="4"/>
        <v>2718.72</v>
      </c>
      <c r="H86" s="18"/>
    </row>
    <row r="87" spans="1:8" s="32" customFormat="1" ht="45" customHeight="1">
      <c r="A87" s="29" t="s">
        <v>198</v>
      </c>
      <c r="B87" s="29" t="s">
        <v>199</v>
      </c>
      <c r="C87" s="30" t="s">
        <v>200</v>
      </c>
      <c r="D87" s="29" t="s">
        <v>22</v>
      </c>
      <c r="E87" s="31">
        <v>1</v>
      </c>
      <c r="F87" s="31">
        <v>240</v>
      </c>
      <c r="G87" s="31">
        <f t="shared" si="4"/>
        <v>240</v>
      </c>
      <c r="H87" s="18"/>
    </row>
    <row r="88" spans="1:8" s="32" customFormat="1" ht="60" customHeight="1">
      <c r="A88" s="29" t="s">
        <v>201</v>
      </c>
      <c r="B88" s="29" t="s">
        <v>202</v>
      </c>
      <c r="C88" s="30" t="s">
        <v>203</v>
      </c>
      <c r="D88" s="29" t="s">
        <v>22</v>
      </c>
      <c r="E88" s="31">
        <v>1</v>
      </c>
      <c r="F88" s="31">
        <v>483.62</v>
      </c>
      <c r="G88" s="31">
        <f t="shared" si="4"/>
        <v>483.62</v>
      </c>
      <c r="H88" s="18"/>
    </row>
    <row r="89" spans="1:8" s="32" customFormat="1" ht="9.75" customHeight="1">
      <c r="A89" s="18"/>
      <c r="B89" s="18"/>
      <c r="C89" s="28"/>
      <c r="D89" s="18"/>
      <c r="E89" s="56"/>
      <c r="F89" s="56"/>
      <c r="G89" s="56"/>
      <c r="H89" s="18"/>
    </row>
    <row r="90" spans="1:8" s="32" customFormat="1" ht="19.5" customHeight="1">
      <c r="A90" s="53" t="s">
        <v>204</v>
      </c>
      <c r="B90" s="53"/>
      <c r="C90" s="54" t="s">
        <v>205</v>
      </c>
      <c r="D90" s="53"/>
      <c r="E90" s="55"/>
      <c r="F90" s="55"/>
      <c r="G90" s="55">
        <f>SUM(G92:G104)</f>
        <v>4422.280000000001</v>
      </c>
      <c r="H90" s="18"/>
    </row>
    <row r="91" spans="1:8" s="32" customFormat="1" ht="9.75" customHeight="1">
      <c r="A91" s="18"/>
      <c r="B91" s="18"/>
      <c r="C91" s="28"/>
      <c r="D91" s="18"/>
      <c r="E91" s="56"/>
      <c r="F91" s="56"/>
      <c r="G91" s="59"/>
      <c r="H91" s="18"/>
    </row>
    <row r="92" spans="1:11" s="32" customFormat="1" ht="75" customHeight="1">
      <c r="A92" s="29" t="s">
        <v>206</v>
      </c>
      <c r="B92" s="47" t="s">
        <v>67</v>
      </c>
      <c r="C92" s="30" t="s">
        <v>68</v>
      </c>
      <c r="D92" s="29" t="s">
        <v>69</v>
      </c>
      <c r="E92" s="31">
        <f>ROUND(40*0.2*0.6,2)</f>
        <v>4.8</v>
      </c>
      <c r="F92" s="31">
        <v>45.8</v>
      </c>
      <c r="G92" s="31">
        <f aca="true" t="shared" si="5" ref="G92:G104">ROUND(E92*F92,2)</f>
        <v>219.84</v>
      </c>
      <c r="H92" s="18"/>
      <c r="I92" s="4"/>
      <c r="J92" s="4"/>
      <c r="K92" s="4"/>
    </row>
    <row r="93" spans="1:11" s="32" customFormat="1" ht="45" customHeight="1">
      <c r="A93" s="29" t="s">
        <v>207</v>
      </c>
      <c r="B93" s="47" t="s">
        <v>74</v>
      </c>
      <c r="C93" s="30" t="s">
        <v>75</v>
      </c>
      <c r="D93" s="29" t="s">
        <v>69</v>
      </c>
      <c r="E93" s="31">
        <f>E92*0.8</f>
        <v>3.84</v>
      </c>
      <c r="F93" s="31">
        <v>28.29</v>
      </c>
      <c r="G93" s="31">
        <f t="shared" si="5"/>
        <v>108.63</v>
      </c>
      <c r="H93" s="18"/>
      <c r="I93" s="4"/>
      <c r="J93" s="4"/>
      <c r="K93" s="4"/>
    </row>
    <row r="94" spans="1:11" s="32" customFormat="1" ht="30" customHeight="1">
      <c r="A94" s="29" t="s">
        <v>208</v>
      </c>
      <c r="B94" s="47" t="s">
        <v>209</v>
      </c>
      <c r="C94" s="30" t="s">
        <v>210</v>
      </c>
      <c r="D94" s="29" t="s">
        <v>61</v>
      </c>
      <c r="E94" s="31">
        <v>45</v>
      </c>
      <c r="F94" s="31">
        <v>4.53</v>
      </c>
      <c r="G94" s="31">
        <f t="shared" si="5"/>
        <v>203.85</v>
      </c>
      <c r="H94" s="18"/>
      <c r="I94" s="4"/>
      <c r="J94" s="4"/>
      <c r="K94" s="4"/>
    </row>
    <row r="95" spans="1:11" s="32" customFormat="1" ht="90" customHeight="1">
      <c r="A95" s="29" t="s">
        <v>211</v>
      </c>
      <c r="B95" s="47" t="s">
        <v>212</v>
      </c>
      <c r="C95" s="30" t="s">
        <v>213</v>
      </c>
      <c r="D95" s="29" t="s">
        <v>22</v>
      </c>
      <c r="E95" s="31">
        <v>1</v>
      </c>
      <c r="F95" s="31">
        <v>488.38</v>
      </c>
      <c r="G95" s="31">
        <f t="shared" si="5"/>
        <v>488.38</v>
      </c>
      <c r="H95" s="18"/>
      <c r="I95" s="4"/>
      <c r="J95" s="4"/>
      <c r="K95" s="4"/>
    </row>
    <row r="96" spans="1:11" s="32" customFormat="1" ht="45" customHeight="1">
      <c r="A96" s="29" t="s">
        <v>214</v>
      </c>
      <c r="B96" s="29" t="s">
        <v>215</v>
      </c>
      <c r="C96" s="30" t="s">
        <v>216</v>
      </c>
      <c r="D96" s="29" t="s">
        <v>61</v>
      </c>
      <c r="E96" s="31">
        <f>ROUND(45*3,2)</f>
        <v>135</v>
      </c>
      <c r="F96" s="31">
        <v>3.46</v>
      </c>
      <c r="G96" s="31">
        <f t="shared" si="5"/>
        <v>467.1</v>
      </c>
      <c r="H96" s="18"/>
      <c r="I96" s="4"/>
      <c r="J96" s="4"/>
      <c r="K96" s="4"/>
    </row>
    <row r="97" spans="1:11" s="32" customFormat="1" ht="30" customHeight="1">
      <c r="A97" s="60" t="s">
        <v>217</v>
      </c>
      <c r="B97" s="29" t="s">
        <v>218</v>
      </c>
      <c r="C97" s="30" t="s">
        <v>219</v>
      </c>
      <c r="D97" s="29" t="s">
        <v>22</v>
      </c>
      <c r="E97" s="31">
        <v>3</v>
      </c>
      <c r="F97" s="31">
        <v>45.65</v>
      </c>
      <c r="G97" s="31">
        <f t="shared" si="5"/>
        <v>136.95</v>
      </c>
      <c r="H97" s="18"/>
      <c r="I97" s="4"/>
      <c r="J97" s="4"/>
      <c r="K97" s="4"/>
    </row>
    <row r="98" spans="1:11" s="32" customFormat="1" ht="60" customHeight="1">
      <c r="A98" s="29" t="s">
        <v>220</v>
      </c>
      <c r="B98" s="29" t="s">
        <v>221</v>
      </c>
      <c r="C98" s="30" t="s">
        <v>222</v>
      </c>
      <c r="D98" s="29" t="s">
        <v>22</v>
      </c>
      <c r="E98" s="31">
        <v>1</v>
      </c>
      <c r="F98" s="31">
        <v>81.83</v>
      </c>
      <c r="G98" s="31">
        <f t="shared" si="5"/>
        <v>81.83</v>
      </c>
      <c r="H98" s="18"/>
      <c r="I98" s="4"/>
      <c r="J98" s="4"/>
      <c r="K98" s="4"/>
    </row>
    <row r="99" spans="1:11" s="32" customFormat="1" ht="30" customHeight="1">
      <c r="A99" s="29" t="s">
        <v>223</v>
      </c>
      <c r="B99" s="29" t="s">
        <v>224</v>
      </c>
      <c r="C99" s="30" t="s">
        <v>225</v>
      </c>
      <c r="D99" s="29" t="s">
        <v>22</v>
      </c>
      <c r="E99" s="31">
        <v>1</v>
      </c>
      <c r="F99" s="31">
        <v>28.85</v>
      </c>
      <c r="G99" s="31">
        <f t="shared" si="5"/>
        <v>28.85</v>
      </c>
      <c r="H99" s="18"/>
      <c r="I99" s="4"/>
      <c r="J99" s="4"/>
      <c r="K99" s="4"/>
    </row>
    <row r="100" spans="1:11" s="32" customFormat="1" ht="30" customHeight="1">
      <c r="A100" s="29" t="s">
        <v>226</v>
      </c>
      <c r="B100" s="29" t="s">
        <v>227</v>
      </c>
      <c r="C100" s="30" t="s">
        <v>228</v>
      </c>
      <c r="D100" s="29" t="s">
        <v>22</v>
      </c>
      <c r="E100" s="31">
        <v>1</v>
      </c>
      <c r="F100" s="31">
        <v>12.67</v>
      </c>
      <c r="G100" s="31">
        <f t="shared" si="5"/>
        <v>12.67</v>
      </c>
      <c r="H100" s="18"/>
      <c r="I100" s="4"/>
      <c r="J100" s="4"/>
      <c r="K100" s="4"/>
    </row>
    <row r="101" spans="1:11" s="32" customFormat="1" ht="75" customHeight="1">
      <c r="A101" s="29" t="s">
        <v>229</v>
      </c>
      <c r="B101" s="29" t="s">
        <v>230</v>
      </c>
      <c r="C101" s="30" t="s">
        <v>231</v>
      </c>
      <c r="D101" s="29" t="s">
        <v>22</v>
      </c>
      <c r="E101" s="31">
        <v>6</v>
      </c>
      <c r="F101" s="31">
        <v>245.68</v>
      </c>
      <c r="G101" s="31">
        <f t="shared" si="5"/>
        <v>1474.08</v>
      </c>
      <c r="H101" s="18"/>
      <c r="I101" s="4"/>
      <c r="J101" s="4"/>
      <c r="K101" s="4"/>
    </row>
    <row r="102" spans="1:8" s="32" customFormat="1" ht="45" customHeight="1">
      <c r="A102" s="18" t="s">
        <v>232</v>
      </c>
      <c r="B102" s="18" t="s">
        <v>233</v>
      </c>
      <c r="C102" s="28" t="s">
        <v>234</v>
      </c>
      <c r="D102" s="18" t="s">
        <v>22</v>
      </c>
      <c r="E102" s="31">
        <v>6</v>
      </c>
      <c r="F102" s="31">
        <v>38.58</v>
      </c>
      <c r="G102" s="31">
        <f t="shared" si="5"/>
        <v>231.48</v>
      </c>
      <c r="H102" s="18"/>
    </row>
    <row r="103" spans="1:8" s="32" customFormat="1" ht="45" customHeight="1">
      <c r="A103" s="18" t="s">
        <v>235</v>
      </c>
      <c r="B103" s="18" t="s">
        <v>236</v>
      </c>
      <c r="C103" s="28" t="s">
        <v>237</v>
      </c>
      <c r="D103" s="18" t="s">
        <v>22</v>
      </c>
      <c r="E103" s="31">
        <v>6</v>
      </c>
      <c r="F103" s="31">
        <v>3.55</v>
      </c>
      <c r="G103" s="31">
        <f t="shared" si="5"/>
        <v>21.3</v>
      </c>
      <c r="H103" s="18"/>
    </row>
    <row r="104" spans="1:8" s="32" customFormat="1" ht="75" customHeight="1">
      <c r="A104" s="18" t="s">
        <v>238</v>
      </c>
      <c r="B104" s="18" t="s">
        <v>239</v>
      </c>
      <c r="C104" s="28" t="s">
        <v>240</v>
      </c>
      <c r="D104" s="18" t="s">
        <v>22</v>
      </c>
      <c r="E104" s="31">
        <v>4</v>
      </c>
      <c r="F104" s="31">
        <v>236.83</v>
      </c>
      <c r="G104" s="31">
        <f t="shared" si="5"/>
        <v>947.32</v>
      </c>
      <c r="H104" s="18"/>
    </row>
    <row r="105" spans="1:8" ht="9.75" customHeight="1">
      <c r="A105" s="18"/>
      <c r="B105" s="18"/>
      <c r="C105" s="28"/>
      <c r="D105" s="18"/>
      <c r="E105" s="56"/>
      <c r="F105" s="56"/>
      <c r="G105" s="56"/>
      <c r="H105" s="18"/>
    </row>
    <row r="106" spans="1:8" ht="19.5" customHeight="1">
      <c r="A106" s="53" t="s">
        <v>241</v>
      </c>
      <c r="B106" s="53"/>
      <c r="C106" s="54" t="s">
        <v>242</v>
      </c>
      <c r="D106" s="53"/>
      <c r="E106" s="55"/>
      <c r="F106" s="55"/>
      <c r="G106" s="55">
        <f>SUM(G108:G110)</f>
        <v>1665.8700000000001</v>
      </c>
      <c r="H106" s="18"/>
    </row>
    <row r="107" spans="1:8" ht="9.75" customHeight="1">
      <c r="A107" s="18"/>
      <c r="B107" s="18"/>
      <c r="C107" s="28"/>
      <c r="D107" s="18"/>
      <c r="E107" s="56"/>
      <c r="F107" s="56"/>
      <c r="G107" s="56"/>
      <c r="H107" s="18"/>
    </row>
    <row r="108" spans="1:10" s="32" customFormat="1" ht="75" customHeight="1">
      <c r="A108" s="29" t="s">
        <v>243</v>
      </c>
      <c r="B108" s="29" t="s">
        <v>244</v>
      </c>
      <c r="C108" s="30" t="s">
        <v>245</v>
      </c>
      <c r="D108" s="29" t="s">
        <v>15</v>
      </c>
      <c r="E108" s="31">
        <f>ROUND((26.9*2.6)+(9.7*1.9)+(8.5*1.9)+(4.49),2)</f>
        <v>109.01</v>
      </c>
      <c r="F108" s="31">
        <v>11.64</v>
      </c>
      <c r="G108" s="31">
        <f>ROUND(E108*F108,2)</f>
        <v>1268.88</v>
      </c>
      <c r="H108" s="18"/>
      <c r="I108" s="61">
        <f>ROUND(E108*F108,2)</f>
        <v>1268.88</v>
      </c>
      <c r="J108" s="62">
        <f>I108-G108</f>
        <v>0</v>
      </c>
    </row>
    <row r="109" spans="1:11" s="32" customFormat="1" ht="60" customHeight="1">
      <c r="A109" s="29" t="s">
        <v>246</v>
      </c>
      <c r="B109" s="29" t="s">
        <v>247</v>
      </c>
      <c r="C109" s="30" t="s">
        <v>248</v>
      </c>
      <c r="D109" s="29" t="s">
        <v>15</v>
      </c>
      <c r="E109" s="31">
        <f>ROUND((0.8*2.1*2.5*2)+(0.9*2.1),2)</f>
        <v>10.29</v>
      </c>
      <c r="F109" s="31">
        <v>32.62</v>
      </c>
      <c r="G109" s="31">
        <f>ROUND(E109*F109,2)</f>
        <v>335.66</v>
      </c>
      <c r="H109" s="18"/>
      <c r="I109" s="4"/>
      <c r="J109" s="4"/>
      <c r="K109" s="4"/>
    </row>
    <row r="110" spans="1:11" s="32" customFormat="1" ht="60" customHeight="1">
      <c r="A110" s="29" t="s">
        <v>249</v>
      </c>
      <c r="B110" s="29" t="s">
        <v>250</v>
      </c>
      <c r="C110" s="30" t="s">
        <v>251</v>
      </c>
      <c r="D110" s="29" t="s">
        <v>15</v>
      </c>
      <c r="E110" s="31">
        <f>ROUND((0.8*2.1*2.5*2)+(0.9*2.1),2)</f>
        <v>10.29</v>
      </c>
      <c r="F110" s="31">
        <v>5.96</v>
      </c>
      <c r="G110" s="31">
        <f>ROUND(E110*F110,2)</f>
        <v>61.33</v>
      </c>
      <c r="H110" s="18"/>
      <c r="I110" s="4"/>
      <c r="J110" s="4"/>
      <c r="K110" s="4"/>
    </row>
    <row r="111" spans="1:8" ht="9.75" customHeight="1">
      <c r="A111" s="19"/>
      <c r="B111" s="19"/>
      <c r="C111" s="36"/>
      <c r="D111" s="19"/>
      <c r="E111" s="37"/>
      <c r="F111" s="37"/>
      <c r="G111" s="37"/>
      <c r="H111" s="18"/>
    </row>
    <row r="112" spans="1:8" s="26" customFormat="1" ht="19.5" customHeight="1">
      <c r="A112" s="63" t="s">
        <v>252</v>
      </c>
      <c r="B112" s="63"/>
      <c r="C112" s="64" t="s">
        <v>253</v>
      </c>
      <c r="D112" s="63"/>
      <c r="E112" s="65"/>
      <c r="F112" s="65"/>
      <c r="G112" s="24">
        <f>ROUND(G113+G126+G140+G146+G151,2)</f>
        <v>272510.68</v>
      </c>
      <c r="H112" s="25"/>
    </row>
    <row r="113" spans="1:8" ht="19.5" customHeight="1">
      <c r="A113" s="66" t="s">
        <v>254</v>
      </c>
      <c r="B113" s="66"/>
      <c r="C113" s="67" t="s">
        <v>255</v>
      </c>
      <c r="D113" s="66"/>
      <c r="E113" s="68"/>
      <c r="F113" s="68"/>
      <c r="G113" s="68">
        <f>SUM(G115:G124)</f>
        <v>126399.76000000001</v>
      </c>
      <c r="H113" s="18"/>
    </row>
    <row r="114" spans="1:8" ht="9.75" customHeight="1">
      <c r="A114" s="18"/>
      <c r="B114" s="18"/>
      <c r="C114" s="28"/>
      <c r="D114" s="18"/>
      <c r="E114" s="56"/>
      <c r="F114" s="56"/>
      <c r="G114" s="56"/>
      <c r="H114" s="18"/>
    </row>
    <row r="115" spans="1:8" ht="45" customHeight="1">
      <c r="A115" s="29" t="s">
        <v>256</v>
      </c>
      <c r="B115" s="29" t="s">
        <v>67</v>
      </c>
      <c r="C115" s="30" t="s">
        <v>68</v>
      </c>
      <c r="D115" s="29" t="s">
        <v>69</v>
      </c>
      <c r="E115" s="31">
        <f>ROUND(132*0.5*0.3,2)</f>
        <v>19.8</v>
      </c>
      <c r="F115" s="31">
        <v>45.8</v>
      </c>
      <c r="G115" s="31">
        <f aca="true" t="shared" si="6" ref="G115:G124">ROUND(E115*F115,2)</f>
        <v>906.84</v>
      </c>
      <c r="H115" s="18"/>
    </row>
    <row r="116" spans="1:8" ht="60" customHeight="1">
      <c r="A116" s="46" t="s">
        <v>257</v>
      </c>
      <c r="B116" s="29" t="s">
        <v>71</v>
      </c>
      <c r="C116" s="30" t="s">
        <v>72</v>
      </c>
      <c r="D116" s="29" t="s">
        <v>69</v>
      </c>
      <c r="E116" s="31">
        <f>ROUND(132*0.12*0.05,2)</f>
        <v>0.79</v>
      </c>
      <c r="F116" s="31">
        <v>351.14</v>
      </c>
      <c r="G116" s="31">
        <f t="shared" si="6"/>
        <v>277.4</v>
      </c>
      <c r="H116" s="18"/>
    </row>
    <row r="117" spans="1:8" ht="75" customHeight="1">
      <c r="A117" s="48" t="s">
        <v>258</v>
      </c>
      <c r="B117" s="29" t="s">
        <v>77</v>
      </c>
      <c r="C117" s="30" t="s">
        <v>78</v>
      </c>
      <c r="D117" s="29" t="s">
        <v>69</v>
      </c>
      <c r="E117" s="31">
        <f>ROUND(132*0.12*0.3,2)</f>
        <v>4.75</v>
      </c>
      <c r="F117" s="31">
        <v>1559.86</v>
      </c>
      <c r="G117" s="31">
        <f t="shared" si="6"/>
        <v>7409.34</v>
      </c>
      <c r="H117" s="18"/>
    </row>
    <row r="118" spans="1:11" s="32" customFormat="1" ht="30" customHeight="1">
      <c r="A118" s="48" t="s">
        <v>259</v>
      </c>
      <c r="B118" s="29" t="s">
        <v>83</v>
      </c>
      <c r="C118" s="30" t="s">
        <v>84</v>
      </c>
      <c r="D118" s="29" t="s">
        <v>69</v>
      </c>
      <c r="E118" s="31">
        <f>ROUND(22*44*0.15,2)</f>
        <v>145.2</v>
      </c>
      <c r="F118" s="31">
        <v>10</v>
      </c>
      <c r="G118" s="31">
        <f t="shared" si="6"/>
        <v>1452</v>
      </c>
      <c r="H118" s="18"/>
      <c r="I118" s="4"/>
      <c r="J118" s="4"/>
      <c r="K118" s="4"/>
    </row>
    <row r="119" spans="1:11" s="32" customFormat="1" ht="45" customHeight="1">
      <c r="A119" s="29" t="s">
        <v>260</v>
      </c>
      <c r="B119" s="29" t="s">
        <v>86</v>
      </c>
      <c r="C119" s="30" t="s">
        <v>87</v>
      </c>
      <c r="D119" s="29" t="s">
        <v>69</v>
      </c>
      <c r="E119" s="31">
        <f>ROUND(22*44*0.15,2)</f>
        <v>145.2</v>
      </c>
      <c r="F119" s="31">
        <v>1.7</v>
      </c>
      <c r="G119" s="31">
        <f t="shared" si="6"/>
        <v>246.84</v>
      </c>
      <c r="H119" s="18"/>
      <c r="I119" s="4"/>
      <c r="J119" s="4"/>
      <c r="K119" s="4"/>
    </row>
    <row r="120" spans="1:11" s="32" customFormat="1" ht="30" customHeight="1">
      <c r="A120" s="46" t="s">
        <v>261</v>
      </c>
      <c r="B120" s="18" t="s">
        <v>262</v>
      </c>
      <c r="C120" s="28" t="s">
        <v>263</v>
      </c>
      <c r="D120" s="18" t="s">
        <v>69</v>
      </c>
      <c r="E120" s="31">
        <f>ROUND(22*44*0.1,2)</f>
        <v>96.8</v>
      </c>
      <c r="F120" s="59">
        <v>64.66</v>
      </c>
      <c r="G120" s="59">
        <f t="shared" si="6"/>
        <v>6259.09</v>
      </c>
      <c r="H120" s="18"/>
      <c r="I120" s="4"/>
      <c r="J120" s="4"/>
      <c r="K120" s="4"/>
    </row>
    <row r="121" spans="1:11" s="32" customFormat="1" ht="30" customHeight="1">
      <c r="A121" s="48" t="s">
        <v>264</v>
      </c>
      <c r="B121" s="48" t="s">
        <v>265</v>
      </c>
      <c r="C121" s="58" t="s">
        <v>266</v>
      </c>
      <c r="D121" s="48" t="s">
        <v>69</v>
      </c>
      <c r="E121" s="31">
        <f>ROUND(22*44*0.02,2)</f>
        <v>19.36</v>
      </c>
      <c r="F121" s="31">
        <v>60.98</v>
      </c>
      <c r="G121" s="31">
        <f t="shared" si="6"/>
        <v>1180.57</v>
      </c>
      <c r="H121" s="18"/>
      <c r="I121" s="4"/>
      <c r="J121" s="4"/>
      <c r="K121" s="4"/>
    </row>
    <row r="122" spans="1:11" s="32" customFormat="1" ht="30" customHeight="1">
      <c r="A122" s="48" t="s">
        <v>267</v>
      </c>
      <c r="B122" s="48" t="s">
        <v>268</v>
      </c>
      <c r="C122" s="58" t="s">
        <v>269</v>
      </c>
      <c r="D122" s="48" t="s">
        <v>15</v>
      </c>
      <c r="E122" s="31">
        <f>E124</f>
        <v>968</v>
      </c>
      <c r="F122" s="31">
        <v>1.56</v>
      </c>
      <c r="G122" s="31">
        <f t="shared" si="6"/>
        <v>1510.08</v>
      </c>
      <c r="H122" s="18"/>
      <c r="I122" s="4"/>
      <c r="J122" s="4"/>
      <c r="K122" s="4"/>
    </row>
    <row r="123" spans="1:11" s="32" customFormat="1" ht="75" customHeight="1">
      <c r="A123" s="48" t="s">
        <v>270</v>
      </c>
      <c r="B123" s="48" t="s">
        <v>89</v>
      </c>
      <c r="C123" s="58" t="s">
        <v>90</v>
      </c>
      <c r="D123" s="48" t="s">
        <v>91</v>
      </c>
      <c r="E123" s="31">
        <f>ROUND((E118*1.4*1*60)+(E120*1.5*1*60)+(E121*1.5*1*60),2)</f>
        <v>22651.2</v>
      </c>
      <c r="F123" s="31">
        <v>0.5</v>
      </c>
      <c r="G123" s="31">
        <f t="shared" si="6"/>
        <v>11325.6</v>
      </c>
      <c r="H123" s="18"/>
      <c r="I123" s="4"/>
      <c r="J123" s="4"/>
      <c r="K123" s="4"/>
    </row>
    <row r="124" spans="1:8" ht="120" customHeight="1">
      <c r="A124" s="49" t="s">
        <v>271</v>
      </c>
      <c r="B124" s="69" t="s">
        <v>272</v>
      </c>
      <c r="C124" s="50" t="s">
        <v>273</v>
      </c>
      <c r="D124" s="49" t="s">
        <v>15</v>
      </c>
      <c r="E124" s="70">
        <f>ROUND(22*44,2)</f>
        <v>968</v>
      </c>
      <c r="F124" s="70">
        <v>99</v>
      </c>
      <c r="G124" s="70">
        <f t="shared" si="6"/>
        <v>95832</v>
      </c>
      <c r="H124" s="43"/>
    </row>
    <row r="125" spans="1:7" ht="9.75" customHeight="1">
      <c r="A125" s="71"/>
      <c r="B125" s="71"/>
      <c r="C125" s="71"/>
      <c r="D125" s="72"/>
      <c r="E125" s="71"/>
      <c r="F125" s="71"/>
      <c r="G125" s="71"/>
    </row>
    <row r="126" spans="1:8" ht="19.5" customHeight="1">
      <c r="A126" s="66" t="s">
        <v>274</v>
      </c>
      <c r="B126" s="66"/>
      <c r="C126" s="67" t="s">
        <v>275</v>
      </c>
      <c r="D126" s="66"/>
      <c r="E126" s="68"/>
      <c r="F126" s="68"/>
      <c r="G126" s="68">
        <f>SUM(G128:G138)</f>
        <v>13930.560000000001</v>
      </c>
      <c r="H126" s="18"/>
    </row>
    <row r="127" spans="1:8" ht="9.75" customHeight="1">
      <c r="A127" s="18"/>
      <c r="B127" s="18"/>
      <c r="C127" s="28"/>
      <c r="D127" s="18"/>
      <c r="E127" s="56"/>
      <c r="F127" s="56"/>
      <c r="G127" s="56"/>
      <c r="H127" s="18"/>
    </row>
    <row r="128" spans="1:11" s="32" customFormat="1" ht="45" customHeight="1">
      <c r="A128" s="29" t="s">
        <v>276</v>
      </c>
      <c r="B128" s="29" t="s">
        <v>67</v>
      </c>
      <c r="C128" s="30" t="s">
        <v>277</v>
      </c>
      <c r="D128" s="29" t="s">
        <v>69</v>
      </c>
      <c r="E128" s="31">
        <f>ROUND(44*0.5*0.3*2,2)</f>
        <v>13.2</v>
      </c>
      <c r="F128" s="31">
        <v>45.8</v>
      </c>
      <c r="G128" s="31">
        <f aca="true" t="shared" si="7" ref="G128:G138">ROUND(E128*F128,2)</f>
        <v>604.56</v>
      </c>
      <c r="H128" s="18"/>
      <c r="I128" s="4"/>
      <c r="J128" s="4"/>
      <c r="K128" s="4"/>
    </row>
    <row r="129" spans="1:11" s="32" customFormat="1" ht="60" customHeight="1">
      <c r="A129" s="29" t="s">
        <v>278</v>
      </c>
      <c r="B129" s="29" t="s">
        <v>71</v>
      </c>
      <c r="C129" s="30" t="s">
        <v>279</v>
      </c>
      <c r="D129" s="29" t="s">
        <v>69</v>
      </c>
      <c r="E129" s="31">
        <f>ROUND(44*0.3*0.07*2,2)</f>
        <v>1.85</v>
      </c>
      <c r="F129" s="31">
        <v>351.14</v>
      </c>
      <c r="G129" s="31">
        <f t="shared" si="7"/>
        <v>649.61</v>
      </c>
      <c r="H129" s="18"/>
      <c r="I129" s="4"/>
      <c r="J129" s="4"/>
      <c r="K129" s="4"/>
    </row>
    <row r="130" spans="1:11" s="32" customFormat="1" ht="60" customHeight="1">
      <c r="A130" s="29" t="s">
        <v>280</v>
      </c>
      <c r="B130" s="29" t="s">
        <v>281</v>
      </c>
      <c r="C130" s="30" t="s">
        <v>282</v>
      </c>
      <c r="D130" s="29" t="s">
        <v>15</v>
      </c>
      <c r="E130" s="31">
        <f>ROUND(44*0.2*2,2)</f>
        <v>17.6</v>
      </c>
      <c r="F130" s="31">
        <v>43.19</v>
      </c>
      <c r="G130" s="31">
        <f t="shared" si="7"/>
        <v>760.14</v>
      </c>
      <c r="H130" s="18"/>
      <c r="I130" s="4"/>
      <c r="J130" s="4"/>
      <c r="K130" s="4"/>
    </row>
    <row r="131" spans="1:11" s="32" customFormat="1" ht="60" customHeight="1">
      <c r="A131" s="29" t="s">
        <v>283</v>
      </c>
      <c r="B131" s="29" t="s">
        <v>284</v>
      </c>
      <c r="C131" s="30" t="s">
        <v>285</v>
      </c>
      <c r="D131" s="29" t="s">
        <v>286</v>
      </c>
      <c r="E131" s="31">
        <f>ROUND(2*44*2*0.25,2)</f>
        <v>44</v>
      </c>
      <c r="F131" s="31">
        <v>3.83</v>
      </c>
      <c r="G131" s="31">
        <f t="shared" si="7"/>
        <v>168.52</v>
      </c>
      <c r="H131" s="18"/>
      <c r="I131" s="4"/>
      <c r="J131" s="4"/>
      <c r="K131" s="4"/>
    </row>
    <row r="132" spans="1:11" s="32" customFormat="1" ht="60" customHeight="1">
      <c r="A132" s="29" t="s">
        <v>287</v>
      </c>
      <c r="B132" s="29" t="s">
        <v>71</v>
      </c>
      <c r="C132" s="30" t="s">
        <v>288</v>
      </c>
      <c r="D132" s="29" t="s">
        <v>69</v>
      </c>
      <c r="E132" s="31">
        <f>ROUND(44*0.075*0.15*2,2)</f>
        <v>0.99</v>
      </c>
      <c r="F132" s="31">
        <v>351.14</v>
      </c>
      <c r="G132" s="31">
        <f t="shared" si="7"/>
        <v>347.63</v>
      </c>
      <c r="H132" s="18"/>
      <c r="I132" s="4"/>
      <c r="J132" s="4"/>
      <c r="K132" s="4"/>
    </row>
    <row r="133" spans="1:11" s="32" customFormat="1" ht="75" customHeight="1">
      <c r="A133" s="29" t="s">
        <v>289</v>
      </c>
      <c r="B133" s="29" t="s">
        <v>290</v>
      </c>
      <c r="C133" s="30" t="s">
        <v>291</v>
      </c>
      <c r="D133" s="29" t="s">
        <v>15</v>
      </c>
      <c r="E133" s="31">
        <f>ROUND(0.55*44*2,2)</f>
        <v>48.4</v>
      </c>
      <c r="F133" s="31">
        <v>15.33</v>
      </c>
      <c r="G133" s="31">
        <f t="shared" si="7"/>
        <v>741.97</v>
      </c>
      <c r="H133" s="18"/>
      <c r="I133" s="4"/>
      <c r="J133" s="4"/>
      <c r="K133" s="4"/>
    </row>
    <row r="134" spans="1:11" s="32" customFormat="1" ht="45" customHeight="1">
      <c r="A134" s="29" t="s">
        <v>292</v>
      </c>
      <c r="B134" s="29" t="s">
        <v>293</v>
      </c>
      <c r="C134" s="30" t="s">
        <v>294</v>
      </c>
      <c r="D134" s="29" t="s">
        <v>61</v>
      </c>
      <c r="E134" s="31">
        <f>ROUND(44*2,2)</f>
        <v>88</v>
      </c>
      <c r="F134" s="31">
        <v>98.15</v>
      </c>
      <c r="G134" s="31">
        <f t="shared" si="7"/>
        <v>8637.2</v>
      </c>
      <c r="H134" s="18"/>
      <c r="I134" s="4"/>
      <c r="J134" s="4"/>
      <c r="K134" s="4"/>
    </row>
    <row r="135" spans="1:11" s="32" customFormat="1" ht="75" customHeight="1">
      <c r="A135" s="29" t="s">
        <v>295</v>
      </c>
      <c r="B135" s="29" t="s">
        <v>166</v>
      </c>
      <c r="C135" s="30" t="s">
        <v>167</v>
      </c>
      <c r="D135" s="29" t="s">
        <v>22</v>
      </c>
      <c r="E135" s="31">
        <v>2</v>
      </c>
      <c r="F135" s="31">
        <v>57.79</v>
      </c>
      <c r="G135" s="31">
        <f t="shared" si="7"/>
        <v>115.58</v>
      </c>
      <c r="H135" s="18"/>
      <c r="I135" s="4"/>
      <c r="J135" s="4"/>
      <c r="K135" s="4"/>
    </row>
    <row r="136" spans="1:11" s="32" customFormat="1" ht="45" customHeight="1">
      <c r="A136" s="29" t="s">
        <v>296</v>
      </c>
      <c r="B136" s="29" t="s">
        <v>297</v>
      </c>
      <c r="C136" s="30" t="s">
        <v>298</v>
      </c>
      <c r="D136" s="29" t="s">
        <v>61</v>
      </c>
      <c r="E136" s="31">
        <v>2</v>
      </c>
      <c r="F136" s="31">
        <v>13.44</v>
      </c>
      <c r="G136" s="31">
        <f t="shared" si="7"/>
        <v>26.88</v>
      </c>
      <c r="H136" s="18"/>
      <c r="I136" s="4"/>
      <c r="J136" s="4"/>
      <c r="K136" s="4"/>
    </row>
    <row r="137" spans="1:11" s="32" customFormat="1" ht="105" customHeight="1">
      <c r="A137" s="29" t="s">
        <v>299</v>
      </c>
      <c r="B137" s="29" t="s">
        <v>212</v>
      </c>
      <c r="C137" s="30" t="s">
        <v>300</v>
      </c>
      <c r="D137" s="29" t="s">
        <v>22</v>
      </c>
      <c r="E137" s="31">
        <v>2</v>
      </c>
      <c r="F137" s="31">
        <v>488.38</v>
      </c>
      <c r="G137" s="31">
        <f t="shared" si="7"/>
        <v>976.76</v>
      </c>
      <c r="H137" s="18"/>
      <c r="I137" s="4"/>
      <c r="J137" s="4"/>
      <c r="K137" s="4"/>
    </row>
    <row r="138" spans="1:11" s="32" customFormat="1" ht="45" customHeight="1">
      <c r="A138" s="29" t="s">
        <v>301</v>
      </c>
      <c r="B138" s="29" t="s">
        <v>302</v>
      </c>
      <c r="C138" s="30" t="s">
        <v>303</v>
      </c>
      <c r="D138" s="29" t="s">
        <v>61</v>
      </c>
      <c r="E138" s="31">
        <f>ROUND(34+9,2)</f>
        <v>43</v>
      </c>
      <c r="F138" s="31">
        <v>20.97</v>
      </c>
      <c r="G138" s="31">
        <f t="shared" si="7"/>
        <v>901.71</v>
      </c>
      <c r="H138" s="18"/>
      <c r="I138" s="4"/>
      <c r="J138" s="4"/>
      <c r="K138" s="4"/>
    </row>
    <row r="139" spans="1:7" ht="9.75" customHeight="1">
      <c r="A139" s="71"/>
      <c r="B139" s="71"/>
      <c r="C139" s="71"/>
      <c r="D139" s="72"/>
      <c r="E139" s="71"/>
      <c r="F139" s="71"/>
      <c r="G139" s="71"/>
    </row>
    <row r="140" spans="1:8" ht="19.5" customHeight="1">
      <c r="A140" s="66" t="s">
        <v>304</v>
      </c>
      <c r="B140" s="66"/>
      <c r="C140" s="67" t="s">
        <v>305</v>
      </c>
      <c r="D140" s="66"/>
      <c r="E140" s="68"/>
      <c r="F140" s="68"/>
      <c r="G140" s="68">
        <f>SUM(G142:G144)</f>
        <v>107174.7</v>
      </c>
      <c r="H140" s="18"/>
    </row>
    <row r="141" spans="1:8" ht="9.75" customHeight="1">
      <c r="A141" s="18"/>
      <c r="B141" s="18"/>
      <c r="C141" s="28"/>
      <c r="D141" s="18"/>
      <c r="E141" s="56"/>
      <c r="F141" s="56"/>
      <c r="G141" s="56"/>
      <c r="H141" s="18"/>
    </row>
    <row r="142" spans="1:11" s="32" customFormat="1" ht="90" customHeight="1">
      <c r="A142" s="48" t="s">
        <v>306</v>
      </c>
      <c r="B142" s="29" t="s">
        <v>307</v>
      </c>
      <c r="C142" s="30" t="s">
        <v>308</v>
      </c>
      <c r="D142" s="29" t="s">
        <v>15</v>
      </c>
      <c r="E142" s="31">
        <f>ROUND(132*5,2)</f>
        <v>660</v>
      </c>
      <c r="F142" s="31">
        <v>156.25</v>
      </c>
      <c r="G142" s="31">
        <f>ROUND(E142*F142,2)</f>
        <v>103125</v>
      </c>
      <c r="H142" s="18"/>
      <c r="I142" s="4"/>
      <c r="J142" s="4"/>
      <c r="K142" s="4"/>
    </row>
    <row r="143" spans="1:11" s="32" customFormat="1" ht="30" customHeight="1">
      <c r="A143" s="29" t="s">
        <v>309</v>
      </c>
      <c r="B143" s="29" t="s">
        <v>310</v>
      </c>
      <c r="C143" s="30" t="s">
        <v>311</v>
      </c>
      <c r="D143" s="29" t="s">
        <v>312</v>
      </c>
      <c r="E143" s="31">
        <v>2</v>
      </c>
      <c r="F143" s="31">
        <v>1963.5</v>
      </c>
      <c r="G143" s="31">
        <f>ROUND(E143*F143,2)</f>
        <v>3927</v>
      </c>
      <c r="H143" s="18"/>
      <c r="I143" s="4"/>
      <c r="J143" s="4"/>
      <c r="K143" s="4"/>
    </row>
    <row r="144" spans="1:11" s="32" customFormat="1" ht="15" customHeight="1">
      <c r="A144" s="29" t="s">
        <v>313</v>
      </c>
      <c r="B144" s="29" t="s">
        <v>314</v>
      </c>
      <c r="C144" s="30" t="s">
        <v>315</v>
      </c>
      <c r="D144" s="29" t="s">
        <v>312</v>
      </c>
      <c r="E144" s="31">
        <v>2</v>
      </c>
      <c r="F144" s="31">
        <v>61.35</v>
      </c>
      <c r="G144" s="31">
        <f>ROUND(E144*F144,2)</f>
        <v>122.7</v>
      </c>
      <c r="H144" s="18"/>
      <c r="I144" s="4"/>
      <c r="J144" s="4"/>
      <c r="K144" s="4"/>
    </row>
    <row r="145" spans="1:8" ht="9.75" customHeight="1">
      <c r="A145" s="73"/>
      <c r="B145" s="73"/>
      <c r="C145" s="74"/>
      <c r="D145" s="73"/>
      <c r="E145" s="75"/>
      <c r="F145" s="75"/>
      <c r="G145" s="75"/>
      <c r="H145" s="18"/>
    </row>
    <row r="146" spans="1:8" ht="19.5" customHeight="1">
      <c r="A146" s="53" t="s">
        <v>316</v>
      </c>
      <c r="B146" s="53"/>
      <c r="C146" s="54" t="s">
        <v>317</v>
      </c>
      <c r="D146" s="53"/>
      <c r="E146" s="55"/>
      <c r="F146" s="55"/>
      <c r="G146" s="55">
        <f>SUM(G148:G149)</f>
        <v>2063.2400000000002</v>
      </c>
      <c r="H146" s="18"/>
    </row>
    <row r="147" spans="1:8" ht="9.75" customHeight="1">
      <c r="A147" s="18"/>
      <c r="B147" s="18"/>
      <c r="C147" s="28"/>
      <c r="D147" s="18"/>
      <c r="E147" s="56"/>
      <c r="F147" s="56"/>
      <c r="G147" s="56"/>
      <c r="H147" s="18"/>
    </row>
    <row r="148" spans="1:11" s="32" customFormat="1" ht="45" customHeight="1">
      <c r="A148" s="29" t="s">
        <v>318</v>
      </c>
      <c r="B148" s="29" t="s">
        <v>244</v>
      </c>
      <c r="C148" s="30" t="s">
        <v>245</v>
      </c>
      <c r="D148" s="29" t="s">
        <v>15</v>
      </c>
      <c r="E148" s="31">
        <f>ROUND(132*0.4,2)</f>
        <v>52.8</v>
      </c>
      <c r="F148" s="31">
        <v>11.64</v>
      </c>
      <c r="G148" s="31">
        <f>ROUND(E148*F148,2)</f>
        <v>614.59</v>
      </c>
      <c r="H148" s="18"/>
      <c r="I148" s="4"/>
      <c r="J148" s="4"/>
      <c r="K148" s="4"/>
    </row>
    <row r="149" spans="1:11" s="32" customFormat="1" ht="90" customHeight="1">
      <c r="A149" s="29" t="s">
        <v>319</v>
      </c>
      <c r="B149" s="29" t="s">
        <v>320</v>
      </c>
      <c r="C149" s="30" t="s">
        <v>321</v>
      </c>
      <c r="D149" s="29" t="s">
        <v>15</v>
      </c>
      <c r="E149" s="76">
        <f>ROUND((2*3.14*0.025*22*3*2)+(2*3.14*0.025*5*8*2)+(2*3.14*0.025*44*3*2)+(2*3.14*0.025*5*15*2),2)</f>
        <v>98.28</v>
      </c>
      <c r="F149" s="31">
        <v>14.74</v>
      </c>
      <c r="G149" s="31">
        <f>ROUND(E149*F149,2)</f>
        <v>1448.65</v>
      </c>
      <c r="H149" s="18"/>
      <c r="I149" s="4"/>
      <c r="J149" s="4"/>
      <c r="K149" s="4"/>
    </row>
    <row r="150" spans="1:8" ht="9.75" customHeight="1">
      <c r="A150" s="73"/>
      <c r="B150" s="73"/>
      <c r="C150" s="74"/>
      <c r="D150" s="73"/>
      <c r="E150" s="75"/>
      <c r="F150" s="75"/>
      <c r="G150" s="75"/>
      <c r="H150" s="18"/>
    </row>
    <row r="151" spans="1:8" ht="19.5" customHeight="1">
      <c r="A151" s="53" t="s">
        <v>322</v>
      </c>
      <c r="B151" s="53"/>
      <c r="C151" s="54" t="s">
        <v>323</v>
      </c>
      <c r="D151" s="53"/>
      <c r="E151" s="55"/>
      <c r="F151" s="55"/>
      <c r="G151" s="55">
        <f>SUM(G153:G177)</f>
        <v>22942.420000000002</v>
      </c>
      <c r="H151" s="18"/>
    </row>
    <row r="152" spans="1:8" ht="9.75" customHeight="1">
      <c r="A152" s="18"/>
      <c r="B152" s="18"/>
      <c r="C152" s="28"/>
      <c r="D152" s="18"/>
      <c r="E152" s="56"/>
      <c r="F152" s="56"/>
      <c r="G152" s="56"/>
      <c r="H152" s="18"/>
    </row>
    <row r="153" spans="1:11" s="32" customFormat="1" ht="75" customHeight="1">
      <c r="A153" s="29" t="s">
        <v>324</v>
      </c>
      <c r="B153" s="47" t="s">
        <v>67</v>
      </c>
      <c r="C153" s="30" t="s">
        <v>68</v>
      </c>
      <c r="D153" s="29" t="s">
        <v>69</v>
      </c>
      <c r="E153" s="31">
        <f>ROUND((30*0.2*0.6)+(110*0.2*0.6)+(0.9*0.9*0.6*9),2)</f>
        <v>21.17</v>
      </c>
      <c r="F153" s="31">
        <v>45.8</v>
      </c>
      <c r="G153" s="31">
        <f aca="true" t="shared" si="8" ref="G153:G177">ROUND(E153*F153,2)</f>
        <v>969.59</v>
      </c>
      <c r="H153" s="18"/>
      <c r="I153" s="4"/>
      <c r="J153" s="4"/>
      <c r="K153" s="4"/>
    </row>
    <row r="154" spans="1:11" s="32" customFormat="1" ht="45" customHeight="1">
      <c r="A154" s="29" t="s">
        <v>325</v>
      </c>
      <c r="B154" s="47" t="s">
        <v>74</v>
      </c>
      <c r="C154" s="30" t="s">
        <v>75</v>
      </c>
      <c r="D154" s="29" t="s">
        <v>69</v>
      </c>
      <c r="E154" s="31">
        <f>E153*0.8</f>
        <v>16.936000000000003</v>
      </c>
      <c r="F154" s="31">
        <v>28.29</v>
      </c>
      <c r="G154" s="31">
        <f t="shared" si="8"/>
        <v>479.12</v>
      </c>
      <c r="H154" s="18"/>
      <c r="I154" s="4"/>
      <c r="J154" s="4"/>
      <c r="K154" s="4"/>
    </row>
    <row r="155" spans="1:11" s="32" customFormat="1" ht="45" customHeight="1">
      <c r="A155" s="29" t="s">
        <v>326</v>
      </c>
      <c r="B155" s="47" t="s">
        <v>209</v>
      </c>
      <c r="C155" s="30" t="s">
        <v>210</v>
      </c>
      <c r="D155" s="29" t="s">
        <v>61</v>
      </c>
      <c r="E155" s="31">
        <f>ROUND(30+110,2)</f>
        <v>140</v>
      </c>
      <c r="F155" s="31">
        <v>4.53</v>
      </c>
      <c r="G155" s="31">
        <f t="shared" si="8"/>
        <v>634.2</v>
      </c>
      <c r="H155" s="18"/>
      <c r="I155" s="4"/>
      <c r="J155" s="4"/>
      <c r="K155" s="4"/>
    </row>
    <row r="156" spans="1:11" s="32" customFormat="1" ht="90" customHeight="1">
      <c r="A156" s="29" t="s">
        <v>327</v>
      </c>
      <c r="B156" s="47" t="s">
        <v>212</v>
      </c>
      <c r="C156" s="30" t="s">
        <v>213</v>
      </c>
      <c r="D156" s="29" t="s">
        <v>22</v>
      </c>
      <c r="E156" s="31">
        <v>9</v>
      </c>
      <c r="F156" s="31">
        <v>488.38</v>
      </c>
      <c r="G156" s="31">
        <f t="shared" si="8"/>
        <v>4395.42</v>
      </c>
      <c r="H156" s="18"/>
      <c r="I156" s="4"/>
      <c r="J156" s="4"/>
      <c r="K156" s="4"/>
    </row>
    <row r="157" spans="1:11" s="32" customFormat="1" ht="75" customHeight="1">
      <c r="A157" s="29" t="s">
        <v>328</v>
      </c>
      <c r="B157" s="47" t="s">
        <v>329</v>
      </c>
      <c r="C157" s="30" t="s">
        <v>330</v>
      </c>
      <c r="D157" s="29" t="s">
        <v>61</v>
      </c>
      <c r="E157" s="31">
        <f>ROUND((30*3)+(110*3)+(1.5*1),2)</f>
        <v>421.5</v>
      </c>
      <c r="F157" s="31">
        <v>4.14</v>
      </c>
      <c r="G157" s="31">
        <f t="shared" si="8"/>
        <v>1745.01</v>
      </c>
      <c r="H157" s="18"/>
      <c r="I157" s="4"/>
      <c r="J157" s="4"/>
      <c r="K157" s="4"/>
    </row>
    <row r="158" spans="1:11" s="32" customFormat="1" ht="45" customHeight="1">
      <c r="A158" s="29" t="s">
        <v>331</v>
      </c>
      <c r="B158" s="29" t="s">
        <v>215</v>
      </c>
      <c r="C158" s="30" t="s">
        <v>216</v>
      </c>
      <c r="D158" s="29" t="s">
        <v>61</v>
      </c>
      <c r="E158" s="31">
        <f>ROUND(9*3*3,2)</f>
        <v>81</v>
      </c>
      <c r="F158" s="31">
        <v>3.46</v>
      </c>
      <c r="G158" s="31">
        <f t="shared" si="8"/>
        <v>280.26</v>
      </c>
      <c r="H158" s="18"/>
      <c r="I158" s="4"/>
      <c r="J158" s="4"/>
      <c r="K158" s="4"/>
    </row>
    <row r="159" spans="1:11" s="32" customFormat="1" ht="30" customHeight="1">
      <c r="A159" s="60" t="s">
        <v>332</v>
      </c>
      <c r="B159" s="29" t="s">
        <v>218</v>
      </c>
      <c r="C159" s="30" t="s">
        <v>219</v>
      </c>
      <c r="D159" s="29" t="s">
        <v>22</v>
      </c>
      <c r="E159" s="31">
        <v>3</v>
      </c>
      <c r="F159" s="31">
        <v>45.65</v>
      </c>
      <c r="G159" s="31">
        <f t="shared" si="8"/>
        <v>136.95</v>
      </c>
      <c r="H159" s="18"/>
      <c r="I159" s="4"/>
      <c r="J159" s="4"/>
      <c r="K159" s="4"/>
    </row>
    <row r="160" spans="1:11" s="32" customFormat="1" ht="60" customHeight="1">
      <c r="A160" s="29" t="s">
        <v>333</v>
      </c>
      <c r="B160" s="29" t="s">
        <v>221</v>
      </c>
      <c r="C160" s="30" t="s">
        <v>222</v>
      </c>
      <c r="D160" s="29" t="s">
        <v>22</v>
      </c>
      <c r="E160" s="31">
        <v>1</v>
      </c>
      <c r="F160" s="31">
        <v>81.83</v>
      </c>
      <c r="G160" s="31">
        <f t="shared" si="8"/>
        <v>81.83</v>
      </c>
      <c r="H160" s="18"/>
      <c r="I160" s="4"/>
      <c r="J160" s="4"/>
      <c r="K160" s="4"/>
    </row>
    <row r="161" spans="1:11" s="32" customFormat="1" ht="60" customHeight="1">
      <c r="A161" s="60" t="s">
        <v>334</v>
      </c>
      <c r="B161" s="29" t="s">
        <v>335</v>
      </c>
      <c r="C161" s="30" t="s">
        <v>336</v>
      </c>
      <c r="D161" s="29" t="s">
        <v>15</v>
      </c>
      <c r="E161" s="31">
        <f>ROUND(1.5*0.7,2)</f>
        <v>1.05</v>
      </c>
      <c r="F161" s="31">
        <v>42.97</v>
      </c>
      <c r="G161" s="31">
        <f t="shared" si="8"/>
        <v>45.12</v>
      </c>
      <c r="H161" s="18"/>
      <c r="I161" s="4"/>
      <c r="J161" s="4"/>
      <c r="K161" s="4"/>
    </row>
    <row r="162" spans="1:11" s="32" customFormat="1" ht="45" customHeight="1">
      <c r="A162" s="29" t="s">
        <v>337</v>
      </c>
      <c r="B162" s="29" t="s">
        <v>338</v>
      </c>
      <c r="C162" s="30" t="s">
        <v>339</v>
      </c>
      <c r="D162" s="29" t="s">
        <v>15</v>
      </c>
      <c r="E162" s="31">
        <f>ROUND(1.5*0.7*2,2)</f>
        <v>2.1</v>
      </c>
      <c r="F162" s="31">
        <v>23.74</v>
      </c>
      <c r="G162" s="31">
        <f t="shared" si="8"/>
        <v>49.85</v>
      </c>
      <c r="H162" s="18"/>
      <c r="I162" s="4"/>
      <c r="J162" s="4"/>
      <c r="K162" s="4"/>
    </row>
    <row r="163" spans="1:11" s="32" customFormat="1" ht="30" customHeight="1">
      <c r="A163" s="29" t="s">
        <v>340</v>
      </c>
      <c r="B163" s="29" t="s">
        <v>224</v>
      </c>
      <c r="C163" s="30" t="s">
        <v>225</v>
      </c>
      <c r="D163" s="29" t="s">
        <v>22</v>
      </c>
      <c r="E163" s="31">
        <v>2</v>
      </c>
      <c r="F163" s="31">
        <v>28.85</v>
      </c>
      <c r="G163" s="31">
        <f t="shared" si="8"/>
        <v>57.7</v>
      </c>
      <c r="H163" s="18"/>
      <c r="I163" s="4"/>
      <c r="J163" s="4"/>
      <c r="K163" s="4"/>
    </row>
    <row r="164" spans="1:11" s="32" customFormat="1" ht="30" customHeight="1">
      <c r="A164" s="29" t="s">
        <v>341</v>
      </c>
      <c r="B164" s="29" t="s">
        <v>227</v>
      </c>
      <c r="C164" s="30" t="s">
        <v>228</v>
      </c>
      <c r="D164" s="29" t="s">
        <v>22</v>
      </c>
      <c r="E164" s="31">
        <v>2</v>
      </c>
      <c r="F164" s="31">
        <v>12.67</v>
      </c>
      <c r="G164" s="31">
        <f t="shared" si="8"/>
        <v>25.34</v>
      </c>
      <c r="H164" s="18"/>
      <c r="I164" s="4"/>
      <c r="J164" s="4"/>
      <c r="K164" s="4"/>
    </row>
    <row r="165" spans="1:11" s="32" customFormat="1" ht="30" customHeight="1">
      <c r="A165" s="77" t="s">
        <v>342</v>
      </c>
      <c r="B165" s="47" t="s">
        <v>343</v>
      </c>
      <c r="C165" s="30" t="s">
        <v>344</v>
      </c>
      <c r="D165" s="29" t="s">
        <v>50</v>
      </c>
      <c r="E165" s="31">
        <v>8</v>
      </c>
      <c r="F165" s="31">
        <v>116.84</v>
      </c>
      <c r="G165" s="31">
        <f t="shared" si="8"/>
        <v>934.72</v>
      </c>
      <c r="H165" s="18"/>
      <c r="I165" s="4"/>
      <c r="J165" s="4"/>
      <c r="K165" s="4"/>
    </row>
    <row r="166" spans="1:11" s="32" customFormat="1" ht="90" customHeight="1">
      <c r="A166" s="29" t="s">
        <v>345</v>
      </c>
      <c r="B166" s="47" t="s">
        <v>346</v>
      </c>
      <c r="C166" s="30" t="s">
        <v>347</v>
      </c>
      <c r="D166" s="29" t="s">
        <v>50</v>
      </c>
      <c r="E166" s="31">
        <v>8</v>
      </c>
      <c r="F166" s="31">
        <v>38.71</v>
      </c>
      <c r="G166" s="31">
        <f t="shared" si="8"/>
        <v>309.68</v>
      </c>
      <c r="H166" s="18"/>
      <c r="I166" s="4"/>
      <c r="J166" s="4"/>
      <c r="K166" s="4"/>
    </row>
    <row r="167" spans="1:11" s="32" customFormat="1" ht="45" customHeight="1">
      <c r="A167" s="29" t="s">
        <v>348</v>
      </c>
      <c r="B167" s="29" t="s">
        <v>349</v>
      </c>
      <c r="C167" s="30" t="s">
        <v>350</v>
      </c>
      <c r="D167" s="29" t="s">
        <v>22</v>
      </c>
      <c r="E167" s="31">
        <v>3</v>
      </c>
      <c r="F167" s="31">
        <v>825.69</v>
      </c>
      <c r="G167" s="31">
        <f t="shared" si="8"/>
        <v>2477.07</v>
      </c>
      <c r="H167" s="18"/>
      <c r="I167" s="4"/>
      <c r="J167" s="4"/>
      <c r="K167" s="4"/>
    </row>
    <row r="168" spans="1:11" s="32" customFormat="1" ht="45" customHeight="1">
      <c r="A168" s="29" t="s">
        <v>351</v>
      </c>
      <c r="B168" s="29" t="s">
        <v>352</v>
      </c>
      <c r="C168" s="30" t="s">
        <v>353</v>
      </c>
      <c r="D168" s="29" t="s">
        <v>22</v>
      </c>
      <c r="E168" s="31">
        <v>3</v>
      </c>
      <c r="F168" s="31">
        <v>245.15</v>
      </c>
      <c r="G168" s="31">
        <f t="shared" si="8"/>
        <v>735.45</v>
      </c>
      <c r="H168" s="18"/>
      <c r="I168" s="4"/>
      <c r="J168" s="4"/>
      <c r="K168" s="4"/>
    </row>
    <row r="169" spans="1:11" s="32" customFormat="1" ht="90" customHeight="1">
      <c r="A169" s="60" t="s">
        <v>354</v>
      </c>
      <c r="B169" s="47" t="s">
        <v>355</v>
      </c>
      <c r="C169" s="30" t="s">
        <v>356</v>
      </c>
      <c r="D169" s="29" t="s">
        <v>22</v>
      </c>
      <c r="E169" s="31">
        <f>ROUND(3*6,2)</f>
        <v>18</v>
      </c>
      <c r="F169" s="31">
        <v>416.92</v>
      </c>
      <c r="G169" s="31">
        <f t="shared" si="8"/>
        <v>7504.56</v>
      </c>
      <c r="H169" s="18"/>
      <c r="I169" s="4"/>
      <c r="J169" s="4"/>
      <c r="K169" s="4"/>
    </row>
    <row r="170" spans="1:11" s="32" customFormat="1" ht="30" customHeight="1">
      <c r="A170" s="60" t="s">
        <v>357</v>
      </c>
      <c r="B170" s="47" t="s">
        <v>358</v>
      </c>
      <c r="C170" s="30" t="s">
        <v>359</v>
      </c>
      <c r="D170" s="29" t="s">
        <v>22</v>
      </c>
      <c r="E170" s="31">
        <f>ROUND(3*6,2)</f>
        <v>18</v>
      </c>
      <c r="F170" s="31">
        <v>62.41</v>
      </c>
      <c r="G170" s="31">
        <f t="shared" si="8"/>
        <v>1123.38</v>
      </c>
      <c r="H170" s="18"/>
      <c r="I170" s="4"/>
      <c r="J170" s="4"/>
      <c r="K170" s="4"/>
    </row>
    <row r="171" spans="1:11" s="32" customFormat="1" ht="30" customHeight="1">
      <c r="A171" s="60" t="s">
        <v>360</v>
      </c>
      <c r="B171" s="47" t="s">
        <v>361</v>
      </c>
      <c r="C171" s="30" t="s">
        <v>362</v>
      </c>
      <c r="D171" s="29" t="s">
        <v>22</v>
      </c>
      <c r="E171" s="31">
        <v>3</v>
      </c>
      <c r="F171" s="31">
        <v>22.44</v>
      </c>
      <c r="G171" s="31">
        <f t="shared" si="8"/>
        <v>67.32</v>
      </c>
      <c r="H171" s="18"/>
      <c r="I171" s="4"/>
      <c r="J171" s="4"/>
      <c r="K171" s="4"/>
    </row>
    <row r="172" spans="1:11" s="32" customFormat="1" ht="30" customHeight="1">
      <c r="A172" s="60" t="s">
        <v>363</v>
      </c>
      <c r="B172" s="47" t="s">
        <v>364</v>
      </c>
      <c r="C172" s="30" t="s">
        <v>365</v>
      </c>
      <c r="D172" s="29" t="s">
        <v>22</v>
      </c>
      <c r="E172" s="31">
        <v>3</v>
      </c>
      <c r="F172" s="31">
        <v>51.16</v>
      </c>
      <c r="G172" s="31">
        <f t="shared" si="8"/>
        <v>153.48</v>
      </c>
      <c r="H172" s="18"/>
      <c r="I172" s="4"/>
      <c r="J172" s="4"/>
      <c r="K172" s="4"/>
    </row>
    <row r="173" spans="1:8" ht="30" customHeight="1">
      <c r="A173" s="60" t="s">
        <v>366</v>
      </c>
      <c r="B173" s="78" t="s">
        <v>367</v>
      </c>
      <c r="C173" s="79" t="s">
        <v>368</v>
      </c>
      <c r="D173" s="80" t="s">
        <v>22</v>
      </c>
      <c r="E173" s="70">
        <v>3</v>
      </c>
      <c r="F173" s="70">
        <v>90.72</v>
      </c>
      <c r="G173" s="70">
        <f t="shared" si="8"/>
        <v>272.16</v>
      </c>
      <c r="H173" s="43"/>
    </row>
    <row r="174" spans="1:8" ht="30" customHeight="1">
      <c r="A174" s="60" t="s">
        <v>369</v>
      </c>
      <c r="B174" s="78" t="s">
        <v>370</v>
      </c>
      <c r="C174" s="79" t="s">
        <v>371</v>
      </c>
      <c r="D174" s="80" t="s">
        <v>22</v>
      </c>
      <c r="E174" s="70">
        <v>3</v>
      </c>
      <c r="F174" s="70">
        <v>11.67</v>
      </c>
      <c r="G174" s="70">
        <f t="shared" si="8"/>
        <v>35.01</v>
      </c>
      <c r="H174" s="43"/>
    </row>
    <row r="175" spans="1:8" ht="30" customHeight="1">
      <c r="A175" s="60" t="s">
        <v>372</v>
      </c>
      <c r="B175" s="78" t="s">
        <v>373</v>
      </c>
      <c r="C175" s="79" t="s">
        <v>374</v>
      </c>
      <c r="D175" s="80" t="s">
        <v>22</v>
      </c>
      <c r="E175" s="70">
        <v>16</v>
      </c>
      <c r="F175" s="70">
        <v>11.26</v>
      </c>
      <c r="G175" s="70">
        <f t="shared" si="8"/>
        <v>180.16</v>
      </c>
      <c r="H175" s="43"/>
    </row>
    <row r="176" spans="1:11" s="32" customFormat="1" ht="15" customHeight="1">
      <c r="A176" s="60" t="s">
        <v>375</v>
      </c>
      <c r="B176" s="47" t="s">
        <v>376</v>
      </c>
      <c r="C176" s="30" t="s">
        <v>377</v>
      </c>
      <c r="D176" s="29" t="s">
        <v>50</v>
      </c>
      <c r="E176" s="31">
        <v>8</v>
      </c>
      <c r="F176" s="31">
        <v>18.05</v>
      </c>
      <c r="G176" s="31">
        <f t="shared" si="8"/>
        <v>144.4</v>
      </c>
      <c r="H176" s="18"/>
      <c r="I176" s="4"/>
      <c r="J176" s="4"/>
      <c r="K176" s="4"/>
    </row>
    <row r="177" spans="1:11" s="32" customFormat="1" ht="15" customHeight="1">
      <c r="A177" s="60" t="s">
        <v>378</v>
      </c>
      <c r="B177" s="47" t="s">
        <v>379</v>
      </c>
      <c r="C177" s="30" t="s">
        <v>380</v>
      </c>
      <c r="D177" s="29" t="s">
        <v>50</v>
      </c>
      <c r="E177" s="31">
        <v>8</v>
      </c>
      <c r="F177" s="31">
        <v>13.08</v>
      </c>
      <c r="G177" s="31">
        <f t="shared" si="8"/>
        <v>104.64</v>
      </c>
      <c r="H177" s="18"/>
      <c r="I177" s="4"/>
      <c r="J177" s="4"/>
      <c r="K177" s="4"/>
    </row>
    <row r="178" spans="1:8" ht="9.75" customHeight="1">
      <c r="A178" s="81"/>
      <c r="B178" s="81"/>
      <c r="C178" s="82"/>
      <c r="D178" s="81"/>
      <c r="E178" s="83"/>
      <c r="F178" s="83"/>
      <c r="G178" s="83"/>
      <c r="H178" s="18"/>
    </row>
    <row r="179" spans="1:8" s="26" customFormat="1" ht="19.5" customHeight="1">
      <c r="A179" s="21" t="s">
        <v>381</v>
      </c>
      <c r="B179" s="22"/>
      <c r="C179" s="38" t="s">
        <v>382</v>
      </c>
      <c r="D179" s="22"/>
      <c r="E179" s="39"/>
      <c r="F179" s="39"/>
      <c r="G179" s="24">
        <f>ROUND(G180,2)</f>
        <v>63702.06</v>
      </c>
      <c r="H179" s="25"/>
    </row>
    <row r="180" spans="1:8" ht="19.5" customHeight="1">
      <c r="A180" s="40" t="s">
        <v>383</v>
      </c>
      <c r="B180" s="40"/>
      <c r="C180" s="41" t="s">
        <v>384</v>
      </c>
      <c r="D180" s="40"/>
      <c r="E180" s="42"/>
      <c r="F180" s="42"/>
      <c r="G180" s="42">
        <f>SUM(G182:G186)</f>
        <v>63702.05999999999</v>
      </c>
      <c r="H180" s="18"/>
    </row>
    <row r="181" spans="1:8" ht="9.75" customHeight="1">
      <c r="A181" s="18"/>
      <c r="B181" s="18"/>
      <c r="C181" s="28"/>
      <c r="D181" s="18"/>
      <c r="E181" s="56"/>
      <c r="F181" s="56"/>
      <c r="G181" s="56"/>
      <c r="H181" s="18"/>
    </row>
    <row r="182" spans="1:11" s="32" customFormat="1" ht="45" customHeight="1">
      <c r="A182" s="29" t="s">
        <v>385</v>
      </c>
      <c r="B182" s="29" t="s">
        <v>386</v>
      </c>
      <c r="C182" s="30" t="s">
        <v>387</v>
      </c>
      <c r="D182" s="29" t="s">
        <v>61</v>
      </c>
      <c r="E182" s="31">
        <f>ROUND(8.8*4,2)</f>
        <v>35.2</v>
      </c>
      <c r="F182" s="31">
        <v>36.04</v>
      </c>
      <c r="G182" s="31">
        <f>ROUND(E182*F182,2)</f>
        <v>1268.61</v>
      </c>
      <c r="H182" s="18"/>
      <c r="I182" s="4"/>
      <c r="J182" s="4"/>
      <c r="K182" s="4"/>
    </row>
    <row r="183" spans="1:11" s="32" customFormat="1" ht="60" customHeight="1">
      <c r="A183" s="29" t="s">
        <v>388</v>
      </c>
      <c r="B183" s="29" t="s">
        <v>389</v>
      </c>
      <c r="C183" s="30" t="s">
        <v>390</v>
      </c>
      <c r="D183" s="29" t="s">
        <v>61</v>
      </c>
      <c r="E183" s="31">
        <v>481.28</v>
      </c>
      <c r="F183" s="31">
        <v>50.52</v>
      </c>
      <c r="G183" s="31">
        <f>ROUND(E183*F183,2)</f>
        <v>24314.27</v>
      </c>
      <c r="H183" s="18"/>
      <c r="I183" s="4"/>
      <c r="J183" s="4"/>
      <c r="K183" s="4"/>
    </row>
    <row r="184" spans="1:11" s="32" customFormat="1" ht="105" customHeight="1">
      <c r="A184" s="29" t="s">
        <v>391</v>
      </c>
      <c r="B184" s="29" t="s">
        <v>392</v>
      </c>
      <c r="C184" s="30" t="s">
        <v>393</v>
      </c>
      <c r="D184" s="29" t="s">
        <v>15</v>
      </c>
      <c r="E184" s="31">
        <v>522.86</v>
      </c>
      <c r="F184" s="31">
        <v>66.36</v>
      </c>
      <c r="G184" s="31">
        <f>ROUND(E184*F184,2)</f>
        <v>34696.99</v>
      </c>
      <c r="H184" s="18"/>
      <c r="I184" s="4"/>
      <c r="J184" s="4"/>
      <c r="K184" s="4"/>
    </row>
    <row r="185" spans="1:11" s="32" customFormat="1" ht="105" customHeight="1">
      <c r="A185" s="29" t="s">
        <v>394</v>
      </c>
      <c r="B185" s="29" t="s">
        <v>395</v>
      </c>
      <c r="C185" s="30" t="s">
        <v>396</v>
      </c>
      <c r="D185" s="29" t="s">
        <v>15</v>
      </c>
      <c r="E185" s="31">
        <v>43.9</v>
      </c>
      <c r="F185" s="31">
        <v>72.66</v>
      </c>
      <c r="G185" s="31">
        <f>ROUND(E185*F185,2)</f>
        <v>3189.77</v>
      </c>
      <c r="H185" s="18"/>
      <c r="I185" s="4"/>
      <c r="J185" s="4"/>
      <c r="K185" s="4"/>
    </row>
    <row r="186" spans="1:11" s="32" customFormat="1" ht="30" customHeight="1">
      <c r="A186" s="29" t="s">
        <v>397</v>
      </c>
      <c r="B186" s="29" t="s">
        <v>398</v>
      </c>
      <c r="C186" s="30" t="s">
        <v>399</v>
      </c>
      <c r="D186" s="29" t="s">
        <v>61</v>
      </c>
      <c r="E186" s="31">
        <f>E183+E182</f>
        <v>516.48</v>
      </c>
      <c r="F186" s="31">
        <v>0.45</v>
      </c>
      <c r="G186" s="31">
        <f>ROUND(E186*F186,2)</f>
        <v>232.42</v>
      </c>
      <c r="H186" s="18"/>
      <c r="I186" s="4"/>
      <c r="J186" s="4"/>
      <c r="K186" s="4"/>
    </row>
    <row r="187" spans="1:8" ht="19.5" customHeight="1">
      <c r="A187" s="19"/>
      <c r="B187" s="19"/>
      <c r="C187" s="36"/>
      <c r="D187" s="19"/>
      <c r="E187" s="37"/>
      <c r="F187" s="37"/>
      <c r="G187" s="37"/>
      <c r="H187" s="18"/>
    </row>
    <row r="188" spans="1:8" s="26" customFormat="1" ht="19.5" customHeight="1">
      <c r="A188" s="21" t="s">
        <v>400</v>
      </c>
      <c r="B188" s="22"/>
      <c r="C188" s="38" t="s">
        <v>401</v>
      </c>
      <c r="D188" s="22"/>
      <c r="E188" s="39"/>
      <c r="F188" s="39"/>
      <c r="G188" s="24">
        <f>ROUND(G189,2)</f>
        <v>22617.39</v>
      </c>
      <c r="H188" s="25"/>
    </row>
    <row r="189" spans="1:8" ht="19.5" customHeight="1">
      <c r="A189" s="40" t="s">
        <v>402</v>
      </c>
      <c r="B189" s="40"/>
      <c r="C189" s="41" t="s">
        <v>384</v>
      </c>
      <c r="D189" s="40"/>
      <c r="E189" s="42"/>
      <c r="F189" s="42"/>
      <c r="G189" s="42">
        <f>SUM(G191:G198)</f>
        <v>22617.390000000003</v>
      </c>
      <c r="H189" s="18"/>
    </row>
    <row r="190" spans="1:8" ht="9.75" customHeight="1">
      <c r="A190" s="18"/>
      <c r="B190" s="18"/>
      <c r="C190" s="28"/>
      <c r="D190" s="18"/>
      <c r="E190" s="56"/>
      <c r="F190" s="56"/>
      <c r="G190" s="56"/>
      <c r="H190" s="18"/>
    </row>
    <row r="191" spans="1:11" s="32" customFormat="1" ht="45" customHeight="1">
      <c r="A191" s="29" t="s">
        <v>403</v>
      </c>
      <c r="B191" s="29" t="s">
        <v>404</v>
      </c>
      <c r="C191" s="30" t="s">
        <v>405</v>
      </c>
      <c r="D191" s="29" t="s">
        <v>15</v>
      </c>
      <c r="E191" s="31">
        <v>106.96</v>
      </c>
      <c r="F191" s="31">
        <v>8.25</v>
      </c>
      <c r="G191" s="31">
        <f aca="true" t="shared" si="9" ref="G191:G198">ROUND(E191*F191,2)</f>
        <v>882.42</v>
      </c>
      <c r="H191" s="18"/>
      <c r="I191" s="4"/>
      <c r="J191" s="4"/>
      <c r="K191" s="4"/>
    </row>
    <row r="192" spans="1:11" s="32" customFormat="1" ht="30" customHeight="1">
      <c r="A192" s="29" t="s">
        <v>406</v>
      </c>
      <c r="B192" s="29" t="s">
        <v>407</v>
      </c>
      <c r="C192" s="30" t="s">
        <v>408</v>
      </c>
      <c r="D192" s="29" t="s">
        <v>69</v>
      </c>
      <c r="E192" s="31">
        <f>ROUND(E191*0.3,2)</f>
        <v>32.09</v>
      </c>
      <c r="F192" s="31">
        <v>89.9</v>
      </c>
      <c r="G192" s="31">
        <f t="shared" si="9"/>
        <v>2884.89</v>
      </c>
      <c r="H192" s="18"/>
      <c r="I192" s="84"/>
      <c r="J192" s="4"/>
      <c r="K192" s="4"/>
    </row>
    <row r="193" spans="1:11" s="32" customFormat="1" ht="75" customHeight="1">
      <c r="A193" s="29" t="s">
        <v>409</v>
      </c>
      <c r="B193" s="29" t="s">
        <v>410</v>
      </c>
      <c r="C193" s="30" t="s">
        <v>411</v>
      </c>
      <c r="D193" s="29" t="s">
        <v>91</v>
      </c>
      <c r="E193" s="31">
        <f>ROUND(E192*1.4*1*60,2)</f>
        <v>2695.56</v>
      </c>
      <c r="F193" s="31">
        <v>0.52</v>
      </c>
      <c r="G193" s="31">
        <f t="shared" si="9"/>
        <v>1401.69</v>
      </c>
      <c r="H193" s="18"/>
      <c r="I193" s="4"/>
      <c r="J193" s="4"/>
      <c r="K193" s="4"/>
    </row>
    <row r="194" spans="1:11" s="32" customFormat="1" ht="60" customHeight="1">
      <c r="A194" s="29" t="s">
        <v>412</v>
      </c>
      <c r="B194" s="29" t="s">
        <v>413</v>
      </c>
      <c r="C194" s="30" t="s">
        <v>414</v>
      </c>
      <c r="D194" s="29" t="s">
        <v>15</v>
      </c>
      <c r="E194" s="31">
        <f>ROUND(42.56*1.2,2)</f>
        <v>51.07</v>
      </c>
      <c r="F194" s="31">
        <v>170.41</v>
      </c>
      <c r="G194" s="31">
        <f t="shared" si="9"/>
        <v>8702.84</v>
      </c>
      <c r="H194" s="18"/>
      <c r="I194" s="4"/>
      <c r="J194" s="4"/>
      <c r="K194" s="4"/>
    </row>
    <row r="195" spans="1:11" s="32" customFormat="1" ht="75" customHeight="1">
      <c r="A195" s="29" t="s">
        <v>415</v>
      </c>
      <c r="B195" s="29" t="s">
        <v>416</v>
      </c>
      <c r="C195" s="30" t="s">
        <v>417</v>
      </c>
      <c r="D195" s="29" t="s">
        <v>15</v>
      </c>
      <c r="E195" s="31">
        <f>ROUND(42.56*1.2*2,2)</f>
        <v>102.14</v>
      </c>
      <c r="F195" s="31">
        <v>21.09</v>
      </c>
      <c r="G195" s="31">
        <f t="shared" si="9"/>
        <v>2154.13</v>
      </c>
      <c r="H195" s="18"/>
      <c r="I195" s="4"/>
      <c r="J195" s="4"/>
      <c r="K195" s="4"/>
    </row>
    <row r="196" spans="1:11" s="32" customFormat="1" ht="60" customHeight="1">
      <c r="A196" s="29" t="s">
        <v>418</v>
      </c>
      <c r="B196" s="29" t="s">
        <v>419</v>
      </c>
      <c r="C196" s="30" t="s">
        <v>420</v>
      </c>
      <c r="D196" s="29" t="s">
        <v>22</v>
      </c>
      <c r="E196" s="31">
        <v>1</v>
      </c>
      <c r="F196" s="31">
        <v>2500.61</v>
      </c>
      <c r="G196" s="31">
        <f t="shared" si="9"/>
        <v>2500.61</v>
      </c>
      <c r="H196" s="18"/>
      <c r="I196" s="4"/>
      <c r="J196" s="4"/>
      <c r="K196" s="4"/>
    </row>
    <row r="197" spans="1:11" s="32" customFormat="1" ht="90" customHeight="1">
      <c r="A197" s="29" t="s">
        <v>421</v>
      </c>
      <c r="B197" s="29" t="s">
        <v>422</v>
      </c>
      <c r="C197" s="30" t="s">
        <v>423</v>
      </c>
      <c r="D197" s="29" t="s">
        <v>22</v>
      </c>
      <c r="E197" s="31">
        <v>1</v>
      </c>
      <c r="F197" s="31">
        <v>2231.25</v>
      </c>
      <c r="G197" s="31">
        <f t="shared" si="9"/>
        <v>2231.25</v>
      </c>
      <c r="H197" s="18"/>
      <c r="I197" s="4"/>
      <c r="J197" s="4"/>
      <c r="K197" s="4"/>
    </row>
    <row r="198" spans="1:11" s="32" customFormat="1" ht="60" customHeight="1">
      <c r="A198" s="29" t="s">
        <v>424</v>
      </c>
      <c r="B198" s="29" t="s">
        <v>425</v>
      </c>
      <c r="C198" s="30" t="s">
        <v>426</v>
      </c>
      <c r="D198" s="29" t="s">
        <v>22</v>
      </c>
      <c r="E198" s="31">
        <v>1</v>
      </c>
      <c r="F198" s="31">
        <v>1859.56</v>
      </c>
      <c r="G198" s="31">
        <f t="shared" si="9"/>
        <v>1859.56</v>
      </c>
      <c r="H198" s="18"/>
      <c r="I198" s="4"/>
      <c r="J198" s="4"/>
      <c r="K198" s="4"/>
    </row>
    <row r="199" spans="1:7" ht="19.5" customHeight="1">
      <c r="A199" s="85"/>
      <c r="B199" s="85"/>
      <c r="C199" s="85"/>
      <c r="D199" s="86"/>
      <c r="E199" s="85"/>
      <c r="F199" s="85"/>
      <c r="G199" s="85"/>
    </row>
    <row r="200" spans="1:8" s="26" customFormat="1" ht="19.5" customHeight="1">
      <c r="A200" s="21" t="s">
        <v>427</v>
      </c>
      <c r="B200" s="22"/>
      <c r="C200" s="38" t="s">
        <v>428</v>
      </c>
      <c r="D200" s="22"/>
      <c r="E200" s="39"/>
      <c r="F200" s="39"/>
      <c r="G200" s="24">
        <f>ROUND(G201,2)</f>
        <v>21489.4</v>
      </c>
      <c r="H200" s="25"/>
    </row>
    <row r="201" spans="1:8" ht="19.5" customHeight="1">
      <c r="A201" s="40" t="s">
        <v>429</v>
      </c>
      <c r="B201" s="40"/>
      <c r="C201" s="41" t="s">
        <v>384</v>
      </c>
      <c r="D201" s="40"/>
      <c r="E201" s="42"/>
      <c r="F201" s="42"/>
      <c r="G201" s="42">
        <f>SUM(G203:G210)</f>
        <v>21489.4</v>
      </c>
      <c r="H201" s="18"/>
    </row>
    <row r="202" spans="1:8" ht="9.75" customHeight="1">
      <c r="A202" s="18"/>
      <c r="B202" s="18"/>
      <c r="C202" s="28"/>
      <c r="D202" s="18"/>
      <c r="E202" s="56"/>
      <c r="F202" s="56"/>
      <c r="G202" s="56"/>
      <c r="H202" s="18"/>
    </row>
    <row r="203" spans="1:11" s="32" customFormat="1" ht="15" customHeight="1">
      <c r="A203" s="29" t="s">
        <v>430</v>
      </c>
      <c r="B203" s="47" t="s">
        <v>431</v>
      </c>
      <c r="C203" s="30" t="s">
        <v>432</v>
      </c>
      <c r="D203" s="47" t="s">
        <v>69</v>
      </c>
      <c r="E203" s="31">
        <f>ROUND(E204*0.1,2)</f>
        <v>46.2</v>
      </c>
      <c r="F203" s="31">
        <v>179.01</v>
      </c>
      <c r="G203" s="31">
        <f aca="true" t="shared" si="10" ref="G203:G210">ROUND(E203*F203,2)</f>
        <v>8270.26</v>
      </c>
      <c r="H203" s="18"/>
      <c r="I203" s="4"/>
      <c r="J203" s="4"/>
      <c r="K203" s="4"/>
    </row>
    <row r="204" spans="1:11" s="32" customFormat="1" ht="45" customHeight="1">
      <c r="A204" s="46" t="s">
        <v>433</v>
      </c>
      <c r="B204" s="29" t="s">
        <v>434</v>
      </c>
      <c r="C204" s="30" t="s">
        <v>435</v>
      </c>
      <c r="D204" s="29" t="s">
        <v>15</v>
      </c>
      <c r="E204" s="31">
        <v>462.03</v>
      </c>
      <c r="F204" s="31">
        <v>8.62</v>
      </c>
      <c r="G204" s="31">
        <f t="shared" si="10"/>
        <v>3982.7</v>
      </c>
      <c r="H204" s="18"/>
      <c r="I204" s="4"/>
      <c r="J204" s="4"/>
      <c r="K204" s="4"/>
    </row>
    <row r="205" spans="1:11" s="32" customFormat="1" ht="90" customHeight="1">
      <c r="A205" s="29" t="s">
        <v>436</v>
      </c>
      <c r="B205" s="29" t="s">
        <v>437</v>
      </c>
      <c r="C205" s="30" t="s">
        <v>438</v>
      </c>
      <c r="D205" s="29" t="s">
        <v>22</v>
      </c>
      <c r="E205" s="31">
        <v>6</v>
      </c>
      <c r="F205" s="31">
        <v>1230.02</v>
      </c>
      <c r="G205" s="31">
        <f t="shared" si="10"/>
        <v>7380.12</v>
      </c>
      <c r="H205" s="18"/>
      <c r="I205" s="4"/>
      <c r="J205" s="4"/>
      <c r="K205" s="4"/>
    </row>
    <row r="206" spans="1:11" s="32" customFormat="1" ht="45" customHeight="1">
      <c r="A206" s="29" t="s">
        <v>439</v>
      </c>
      <c r="B206" s="29" t="s">
        <v>440</v>
      </c>
      <c r="C206" s="30" t="s">
        <v>441</v>
      </c>
      <c r="D206" s="29" t="s">
        <v>22</v>
      </c>
      <c r="E206" s="31">
        <v>2</v>
      </c>
      <c r="F206" s="31">
        <v>148.29</v>
      </c>
      <c r="G206" s="31">
        <f t="shared" si="10"/>
        <v>296.58</v>
      </c>
      <c r="H206" s="18"/>
      <c r="I206" s="4"/>
      <c r="J206" s="4"/>
      <c r="K206" s="4"/>
    </row>
    <row r="207" spans="1:11" s="32" customFormat="1" ht="45" customHeight="1">
      <c r="A207" s="29" t="s">
        <v>442</v>
      </c>
      <c r="B207" s="29" t="s">
        <v>386</v>
      </c>
      <c r="C207" s="30" t="s">
        <v>387</v>
      </c>
      <c r="D207" s="29" t="s">
        <v>61</v>
      </c>
      <c r="E207" s="31">
        <f>ROUND(3.2*2,2)</f>
        <v>6.4</v>
      </c>
      <c r="F207" s="31">
        <v>36.04</v>
      </c>
      <c r="G207" s="31">
        <f t="shared" si="10"/>
        <v>230.66</v>
      </c>
      <c r="H207" s="18"/>
      <c r="I207" s="4"/>
      <c r="J207" s="4"/>
      <c r="K207" s="4"/>
    </row>
    <row r="208" spans="1:11" s="32" customFormat="1" ht="30" customHeight="1">
      <c r="A208" s="29" t="s">
        <v>443</v>
      </c>
      <c r="B208" s="29" t="s">
        <v>398</v>
      </c>
      <c r="C208" s="30" t="s">
        <v>399</v>
      </c>
      <c r="D208" s="29" t="s">
        <v>61</v>
      </c>
      <c r="E208" s="31">
        <f>E207</f>
        <v>6.4</v>
      </c>
      <c r="F208" s="31">
        <v>0.45</v>
      </c>
      <c r="G208" s="31">
        <f t="shared" si="10"/>
        <v>2.88</v>
      </c>
      <c r="H208" s="18"/>
      <c r="I208" s="4"/>
      <c r="J208" s="4"/>
      <c r="K208" s="4"/>
    </row>
    <row r="209" spans="1:11" s="32" customFormat="1" ht="75" customHeight="1">
      <c r="A209" s="29" t="s">
        <v>444</v>
      </c>
      <c r="B209" s="29" t="s">
        <v>445</v>
      </c>
      <c r="C209" s="30" t="s">
        <v>446</v>
      </c>
      <c r="D209" s="29" t="s">
        <v>15</v>
      </c>
      <c r="E209" s="31">
        <f>ROUND((4*0.8*2)+(4*2*5),2)</f>
        <v>46.4</v>
      </c>
      <c r="F209" s="31">
        <v>28</v>
      </c>
      <c r="G209" s="31">
        <f t="shared" si="10"/>
        <v>1299.2</v>
      </c>
      <c r="H209" s="18"/>
      <c r="I209" s="4"/>
      <c r="J209" s="4"/>
      <c r="K209" s="4"/>
    </row>
    <row r="210" spans="1:11" s="32" customFormat="1" ht="75" customHeight="1">
      <c r="A210" s="81" t="s">
        <v>447</v>
      </c>
      <c r="B210" s="19" t="s">
        <v>448</v>
      </c>
      <c r="C210" s="36" t="s">
        <v>449</v>
      </c>
      <c r="D210" s="19" t="s">
        <v>22</v>
      </c>
      <c r="E210" s="37">
        <v>6</v>
      </c>
      <c r="F210" s="37">
        <v>4.5</v>
      </c>
      <c r="G210" s="37">
        <f t="shared" si="10"/>
        <v>27</v>
      </c>
      <c r="H210" s="18"/>
      <c r="I210" s="4"/>
      <c r="J210" s="4"/>
      <c r="K210" s="4"/>
    </row>
    <row r="211" spans="1:11" s="96" customFormat="1" ht="19.5" customHeight="1">
      <c r="A211" s="87"/>
      <c r="B211" s="88"/>
      <c r="C211" s="87"/>
      <c r="D211" s="87"/>
      <c r="E211" s="89"/>
      <c r="F211" s="90" t="s">
        <v>450</v>
      </c>
      <c r="G211" s="91">
        <f>ROUND(G14+G31+G112+G179+G188+G200,2)</f>
        <v>485652.17</v>
      </c>
      <c r="H211" s="92"/>
      <c r="I211" s="93"/>
      <c r="J211" s="94"/>
      <c r="K211" s="95"/>
    </row>
    <row r="212" spans="1:11" s="96" customFormat="1" ht="19.5" customHeight="1">
      <c r="A212" s="97"/>
      <c r="B212" s="98"/>
      <c r="C212" s="214">
        <v>18.58</v>
      </c>
      <c r="D212" s="214"/>
      <c r="E212" s="214"/>
      <c r="F212" s="214"/>
      <c r="G212" s="99">
        <f>G211*0.01*C212+0.01</f>
        <v>90234.183186</v>
      </c>
      <c r="H212" s="92"/>
      <c r="I212" s="93"/>
      <c r="J212" s="94"/>
      <c r="K212" s="95"/>
    </row>
    <row r="213" spans="1:11" s="109" customFormat="1" ht="18.75" customHeight="1">
      <c r="A213" s="100"/>
      <c r="B213" s="101"/>
      <c r="C213" s="100"/>
      <c r="D213" s="100"/>
      <c r="E213" s="102"/>
      <c r="F213" s="103" t="s">
        <v>451</v>
      </c>
      <c r="G213" s="104">
        <f>G212+G211</f>
        <v>575886.353186</v>
      </c>
      <c r="H213" s="105"/>
      <c r="I213" s="106"/>
      <c r="J213" s="107"/>
      <c r="K213" s="108"/>
    </row>
    <row r="214" spans="1:11" s="32" customFormat="1" ht="15" customHeight="1">
      <c r="A214" s="18"/>
      <c r="B214" s="18"/>
      <c r="C214" s="28"/>
      <c r="D214" s="18"/>
      <c r="E214" s="56"/>
      <c r="F214" s="56"/>
      <c r="G214" s="56"/>
      <c r="H214" s="18"/>
      <c r="I214" s="4"/>
      <c r="J214" s="4"/>
      <c r="K214" s="4"/>
    </row>
  </sheetData>
  <sheetProtection selectLockedCells="1" selectUnlockedCells="1"/>
  <mergeCells count="6">
    <mergeCell ref="A11:G11"/>
    <mergeCell ref="C212:F212"/>
    <mergeCell ref="A1:G3"/>
    <mergeCell ref="C4:D8"/>
    <mergeCell ref="F8:G8"/>
    <mergeCell ref="A9:G10"/>
  </mergeCells>
  <printOptions/>
  <pageMargins left="0" right="0" top="0.39375" bottom="0.6715277777777777" header="0.5118055555555555" footer="0.26805555555555555"/>
  <pageSetup horizontalDpi="300" verticalDpi="300" orientation="portrait" paperSize="9" r:id="rId2"/>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N26"/>
  <sheetViews>
    <sheetView workbookViewId="0" topLeftCell="A10">
      <selection activeCell="T15" sqref="A1:IV16384"/>
    </sheetView>
  </sheetViews>
  <sheetFormatPr defaultColWidth="9.140625" defaultRowHeight="12.75"/>
  <cols>
    <col min="1" max="1" width="3.7109375" style="110" customWidth="1"/>
    <col min="2" max="2" width="30.7109375" style="110" customWidth="1"/>
    <col min="3" max="14" width="5.7109375" style="110" customWidth="1"/>
    <col min="15" max="17" width="9.140625" style="111" customWidth="1"/>
    <col min="18" max="16384" width="9.140625" style="110" customWidth="1"/>
  </cols>
  <sheetData>
    <row r="1" spans="1:14" ht="15" customHeight="1">
      <c r="A1" s="215" t="s">
        <v>452</v>
      </c>
      <c r="B1" s="215"/>
      <c r="C1" s="215"/>
      <c r="D1" s="215"/>
      <c r="E1" s="215"/>
      <c r="F1" s="215"/>
      <c r="G1" s="215"/>
      <c r="H1" s="215"/>
      <c r="I1" s="215"/>
      <c r="J1" s="215"/>
      <c r="K1" s="215"/>
      <c r="L1" s="215"/>
      <c r="M1" s="215"/>
      <c r="N1" s="215"/>
    </row>
    <row r="2" spans="1:14" ht="15" customHeight="1">
      <c r="A2" s="215"/>
      <c r="B2" s="215"/>
      <c r="C2" s="215"/>
      <c r="D2" s="215"/>
      <c r="E2" s="215"/>
      <c r="F2" s="215"/>
      <c r="G2" s="215"/>
      <c r="H2" s="215"/>
      <c r="I2" s="215"/>
      <c r="J2" s="215"/>
      <c r="K2" s="215"/>
      <c r="L2" s="215"/>
      <c r="M2" s="215"/>
      <c r="N2" s="215"/>
    </row>
    <row r="3" spans="1:14" ht="13.5" customHeight="1">
      <c r="A3" s="216" t="s">
        <v>453</v>
      </c>
      <c r="B3" s="216"/>
      <c r="C3" s="217" t="s">
        <v>454</v>
      </c>
      <c r="D3" s="217"/>
      <c r="E3" s="217"/>
      <c r="F3" s="217"/>
      <c r="G3" s="217"/>
      <c r="H3" s="217"/>
      <c r="I3" s="217"/>
      <c r="J3" s="217"/>
      <c r="K3" s="217"/>
      <c r="L3" s="217"/>
      <c r="M3" s="217"/>
      <c r="N3" s="217"/>
    </row>
    <row r="4" spans="1:14" ht="12.75">
      <c r="A4" s="216"/>
      <c r="B4" s="216"/>
      <c r="C4" s="112">
        <v>10</v>
      </c>
      <c r="D4" s="113">
        <v>20</v>
      </c>
      <c r="E4" s="114">
        <v>30</v>
      </c>
      <c r="F4" s="112">
        <v>40</v>
      </c>
      <c r="G4" s="113">
        <v>50</v>
      </c>
      <c r="H4" s="114">
        <v>60</v>
      </c>
      <c r="I4" s="112">
        <v>70</v>
      </c>
      <c r="J4" s="113">
        <v>80</v>
      </c>
      <c r="K4" s="114">
        <v>90</v>
      </c>
      <c r="L4" s="112">
        <v>100</v>
      </c>
      <c r="M4" s="113">
        <v>110</v>
      </c>
      <c r="N4" s="115">
        <v>120</v>
      </c>
    </row>
    <row r="5" spans="1:14" ht="9.75" customHeight="1">
      <c r="A5" s="116"/>
      <c r="B5" s="117"/>
      <c r="C5" s="118"/>
      <c r="D5" s="119"/>
      <c r="E5" s="120"/>
      <c r="F5" s="118"/>
      <c r="G5" s="119"/>
      <c r="H5" s="120"/>
      <c r="I5" s="118"/>
      <c r="J5" s="119"/>
      <c r="K5" s="120"/>
      <c r="L5" s="118"/>
      <c r="M5" s="119"/>
      <c r="N5" s="121"/>
    </row>
    <row r="6" spans="1:14" ht="15" customHeight="1">
      <c r="A6" s="122" t="s">
        <v>10</v>
      </c>
      <c r="B6" s="123" t="s">
        <v>11</v>
      </c>
      <c r="C6" s="124"/>
      <c r="D6" s="125"/>
      <c r="E6" s="126"/>
      <c r="F6" s="124"/>
      <c r="G6" s="125"/>
      <c r="H6" s="126"/>
      <c r="I6" s="124"/>
      <c r="J6" s="125"/>
      <c r="K6" s="126"/>
      <c r="L6" s="124"/>
      <c r="M6" s="125"/>
      <c r="N6" s="127"/>
    </row>
    <row r="7" spans="1:14" ht="9.75" customHeight="1">
      <c r="A7" s="122"/>
      <c r="B7" s="128"/>
      <c r="C7" s="129"/>
      <c r="D7" s="130"/>
      <c r="E7" s="131"/>
      <c r="F7" s="129"/>
      <c r="G7" s="130"/>
      <c r="H7" s="131"/>
      <c r="I7" s="129"/>
      <c r="J7" s="130"/>
      <c r="K7" s="131"/>
      <c r="L7" s="129"/>
      <c r="M7" s="130"/>
      <c r="N7" s="132"/>
    </row>
    <row r="8" spans="1:14" ht="15" customHeight="1">
      <c r="A8" s="122" t="s">
        <v>62</v>
      </c>
      <c r="B8" s="123" t="s">
        <v>455</v>
      </c>
      <c r="C8" s="133"/>
      <c r="D8" s="130"/>
      <c r="E8" s="134"/>
      <c r="F8" s="135"/>
      <c r="G8" s="136"/>
      <c r="H8" s="137"/>
      <c r="I8" s="133"/>
      <c r="J8" s="138"/>
      <c r="K8" s="139"/>
      <c r="L8" s="133"/>
      <c r="M8" s="138"/>
      <c r="N8" s="140"/>
    </row>
    <row r="9" spans="1:14" ht="9.75" customHeight="1">
      <c r="A9" s="122"/>
      <c r="B9" s="128"/>
      <c r="C9" s="129"/>
      <c r="D9" s="130"/>
      <c r="E9" s="131"/>
      <c r="F9" s="129"/>
      <c r="G9" s="130"/>
      <c r="H9" s="131"/>
      <c r="I9" s="129"/>
      <c r="J9" s="130"/>
      <c r="K9" s="131"/>
      <c r="L9" s="129"/>
      <c r="M9" s="130"/>
      <c r="N9" s="132"/>
    </row>
    <row r="10" spans="1:14" ht="15" customHeight="1">
      <c r="A10" s="122" t="s">
        <v>252</v>
      </c>
      <c r="B10" s="123" t="s">
        <v>456</v>
      </c>
      <c r="C10" s="133"/>
      <c r="D10" s="141"/>
      <c r="E10" s="134"/>
      <c r="F10" s="135"/>
      <c r="G10" s="141"/>
      <c r="H10" s="134"/>
      <c r="I10" s="135"/>
      <c r="J10" s="141"/>
      <c r="K10" s="142"/>
      <c r="L10" s="135"/>
      <c r="M10" s="138"/>
      <c r="N10" s="143"/>
    </row>
    <row r="11" spans="1:14" ht="9.75" customHeight="1">
      <c r="A11" s="122"/>
      <c r="B11" s="128"/>
      <c r="C11" s="129"/>
      <c r="D11" s="130"/>
      <c r="E11" s="131"/>
      <c r="F11" s="129"/>
      <c r="G11" s="130"/>
      <c r="H11" s="131"/>
      <c r="I11" s="129"/>
      <c r="J11" s="130"/>
      <c r="K11" s="131"/>
      <c r="L11" s="129"/>
      <c r="M11" s="130"/>
      <c r="N11" s="132"/>
    </row>
    <row r="12" spans="1:14" ht="15" customHeight="1">
      <c r="A12" s="122" t="s">
        <v>381</v>
      </c>
      <c r="B12" s="144" t="s">
        <v>382</v>
      </c>
      <c r="C12" s="133"/>
      <c r="D12" s="138"/>
      <c r="E12" s="139"/>
      <c r="F12" s="133"/>
      <c r="G12" s="130"/>
      <c r="H12" s="134"/>
      <c r="I12" s="135"/>
      <c r="J12" s="141"/>
      <c r="K12" s="137"/>
      <c r="L12" s="135"/>
      <c r="M12" s="141"/>
      <c r="N12" s="140"/>
    </row>
    <row r="13" spans="1:14" ht="9.75" customHeight="1">
      <c r="A13" s="122"/>
      <c r="B13" s="144"/>
      <c r="C13" s="129"/>
      <c r="D13" s="130"/>
      <c r="E13" s="131"/>
      <c r="F13" s="129"/>
      <c r="G13" s="130"/>
      <c r="H13" s="131"/>
      <c r="I13" s="129"/>
      <c r="J13" s="130"/>
      <c r="K13" s="131"/>
      <c r="L13" s="129"/>
      <c r="M13" s="130"/>
      <c r="N13" s="132"/>
    </row>
    <row r="14" spans="1:14" ht="15" customHeight="1">
      <c r="A14" s="122" t="s">
        <v>400</v>
      </c>
      <c r="B14" s="144" t="s">
        <v>401</v>
      </c>
      <c r="C14" s="133"/>
      <c r="D14" s="138"/>
      <c r="E14" s="139"/>
      <c r="F14" s="133"/>
      <c r="G14" s="138"/>
      <c r="H14" s="145"/>
      <c r="I14" s="129"/>
      <c r="J14" s="130"/>
      <c r="K14" s="134"/>
      <c r="L14" s="135"/>
      <c r="M14" s="141"/>
      <c r="N14" s="140"/>
    </row>
    <row r="15" spans="1:14" ht="9.75" customHeight="1">
      <c r="A15" s="122"/>
      <c r="B15" s="144"/>
      <c r="C15" s="129"/>
      <c r="D15" s="130"/>
      <c r="E15" s="131"/>
      <c r="F15" s="129"/>
      <c r="G15" s="130"/>
      <c r="H15" s="131"/>
      <c r="I15" s="129"/>
      <c r="J15" s="130"/>
      <c r="K15" s="131"/>
      <c r="L15" s="129"/>
      <c r="M15" s="130"/>
      <c r="N15" s="132"/>
    </row>
    <row r="16" spans="1:14" ht="15" customHeight="1">
      <c r="A16" s="122" t="s">
        <v>427</v>
      </c>
      <c r="B16" s="123" t="s">
        <v>428</v>
      </c>
      <c r="C16" s="133"/>
      <c r="D16" s="138"/>
      <c r="E16" s="139"/>
      <c r="F16" s="133"/>
      <c r="G16" s="138"/>
      <c r="H16" s="145"/>
      <c r="I16" s="129"/>
      <c r="J16" s="130"/>
      <c r="K16" s="139"/>
      <c r="L16" s="146"/>
      <c r="M16" s="141"/>
      <c r="N16" s="147"/>
    </row>
    <row r="17" spans="1:14" ht="9.75" customHeight="1">
      <c r="A17" s="148"/>
      <c r="B17" s="149"/>
      <c r="C17" s="150"/>
      <c r="D17" s="151"/>
      <c r="E17" s="152"/>
      <c r="F17" s="150"/>
      <c r="G17" s="151"/>
      <c r="H17" s="152"/>
      <c r="I17" s="150"/>
      <c r="J17" s="151"/>
      <c r="K17" s="152"/>
      <c r="L17" s="150"/>
      <c r="M17" s="151"/>
      <c r="N17" s="153"/>
    </row>
    <row r="18" spans="1:14" ht="12.75">
      <c r="A18" s="111"/>
      <c r="B18" s="111"/>
      <c r="C18" s="111"/>
      <c r="D18" s="111"/>
      <c r="E18" s="111"/>
      <c r="F18" s="111"/>
      <c r="G18" s="111"/>
      <c r="H18" s="111"/>
      <c r="I18" s="111"/>
      <c r="J18" s="111"/>
      <c r="K18" s="111"/>
      <c r="L18" s="111"/>
      <c r="M18" s="111"/>
      <c r="N18" s="111"/>
    </row>
    <row r="19" spans="1:14" ht="12.75">
      <c r="A19" s="111"/>
      <c r="B19" s="111"/>
      <c r="C19" s="111"/>
      <c r="D19" s="111"/>
      <c r="E19" s="111"/>
      <c r="F19" s="111"/>
      <c r="G19" s="111"/>
      <c r="H19" s="111"/>
      <c r="I19" s="111"/>
      <c r="J19" s="111"/>
      <c r="K19" s="111"/>
      <c r="L19" s="111"/>
      <c r="M19" s="111"/>
      <c r="N19" s="111"/>
    </row>
    <row r="20" spans="1:14" ht="12.75">
      <c r="A20" s="111"/>
      <c r="B20" s="111"/>
      <c r="C20" s="111"/>
      <c r="D20" s="111"/>
      <c r="E20" s="111"/>
      <c r="F20" s="111"/>
      <c r="G20" s="111"/>
      <c r="H20" s="111"/>
      <c r="I20" s="111"/>
      <c r="J20" s="111"/>
      <c r="K20" s="111"/>
      <c r="L20" s="111"/>
      <c r="M20" s="111"/>
      <c r="N20" s="111"/>
    </row>
    <row r="21" spans="1:14" ht="12.75">
      <c r="A21" s="111"/>
      <c r="B21" s="111"/>
      <c r="C21" s="111"/>
      <c r="D21" s="111"/>
      <c r="E21" s="111"/>
      <c r="F21" s="111"/>
      <c r="G21" s="111"/>
      <c r="H21" s="111"/>
      <c r="I21" s="111"/>
      <c r="J21" s="111"/>
      <c r="K21" s="111"/>
      <c r="L21" s="111"/>
      <c r="M21" s="111"/>
      <c r="N21" s="111"/>
    </row>
    <row r="22" spans="1:14" ht="12.75">
      <c r="A22" s="111"/>
      <c r="B22" s="111"/>
      <c r="C22" s="111"/>
      <c r="D22" s="111"/>
      <c r="E22" s="111"/>
      <c r="F22" s="111"/>
      <c r="G22" s="111"/>
      <c r="H22" s="111"/>
      <c r="I22" s="111"/>
      <c r="J22" s="111"/>
      <c r="K22" s="111"/>
      <c r="L22" s="111"/>
      <c r="M22" s="111"/>
      <c r="N22" s="111"/>
    </row>
    <row r="23" spans="1:14" ht="12.75">
      <c r="A23" s="111"/>
      <c r="B23" s="111"/>
      <c r="C23" s="111"/>
      <c r="D23" s="111"/>
      <c r="E23" s="111"/>
      <c r="F23" s="111"/>
      <c r="G23" s="111"/>
      <c r="H23" s="111"/>
      <c r="I23" s="111"/>
      <c r="J23" s="111"/>
      <c r="K23" s="111"/>
      <c r="L23" s="111"/>
      <c r="M23" s="111"/>
      <c r="N23" s="111"/>
    </row>
    <row r="24" spans="1:14" ht="12.75">
      <c r="A24" s="111"/>
      <c r="B24" s="111"/>
      <c r="C24" s="111"/>
      <c r="D24" s="111"/>
      <c r="E24" s="111"/>
      <c r="F24" s="111"/>
      <c r="G24" s="111"/>
      <c r="H24" s="111"/>
      <c r="I24" s="111"/>
      <c r="J24" s="111"/>
      <c r="K24" s="111"/>
      <c r="L24" s="111"/>
      <c r="M24" s="111"/>
      <c r="N24" s="111"/>
    </row>
    <row r="25" spans="1:14" ht="12.75">
      <c r="A25" s="111"/>
      <c r="B25" s="111"/>
      <c r="C25" s="111"/>
      <c r="D25" s="111"/>
      <c r="E25" s="111"/>
      <c r="F25" s="111"/>
      <c r="G25" s="111"/>
      <c r="H25" s="111"/>
      <c r="I25" s="111"/>
      <c r="J25" s="111"/>
      <c r="K25" s="111"/>
      <c r="L25" s="111"/>
      <c r="M25" s="111"/>
      <c r="N25" s="111"/>
    </row>
    <row r="26" spans="1:14" ht="12.75">
      <c r="A26" s="111"/>
      <c r="B26" s="111"/>
      <c r="C26" s="111"/>
      <c r="D26" s="111"/>
      <c r="E26" s="111"/>
      <c r="F26" s="111"/>
      <c r="G26" s="111"/>
      <c r="H26" s="111"/>
      <c r="I26" s="111"/>
      <c r="J26" s="111"/>
      <c r="K26" s="111"/>
      <c r="L26" s="111"/>
      <c r="M26" s="111"/>
      <c r="N26" s="111"/>
    </row>
  </sheetData>
  <sheetProtection selectLockedCells="1" selectUnlockedCells="1"/>
  <mergeCells count="3">
    <mergeCell ref="A1:N2"/>
    <mergeCell ref="A3:B4"/>
    <mergeCell ref="C3:N3"/>
  </mergeCells>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K16"/>
  <sheetViews>
    <sheetView workbookViewId="0" topLeftCell="B1">
      <selection activeCell="O11" sqref="A1:IV16384"/>
    </sheetView>
  </sheetViews>
  <sheetFormatPr defaultColWidth="9.140625" defaultRowHeight="12.75"/>
  <cols>
    <col min="1" max="1" width="6.7109375" style="154" customWidth="1"/>
    <col min="2" max="3" width="12.7109375" style="154" customWidth="1"/>
    <col min="4" max="7" width="8.7109375" style="154" customWidth="1"/>
    <col min="8" max="11" width="10.7109375" style="154" customWidth="1"/>
    <col min="12" max="14" width="9.140625" style="155" customWidth="1"/>
    <col min="15" max="16384" width="9.00390625" style="0" customWidth="1"/>
  </cols>
  <sheetData>
    <row r="1" spans="1:11" ht="15" customHeight="1">
      <c r="A1" s="218" t="s">
        <v>457</v>
      </c>
      <c r="B1" s="218"/>
      <c r="C1" s="218"/>
      <c r="D1" s="218"/>
      <c r="E1" s="218"/>
      <c r="F1" s="218"/>
      <c r="G1" s="218"/>
      <c r="H1" s="218"/>
      <c r="I1" s="218"/>
      <c r="J1" s="218"/>
      <c r="K1" s="218"/>
    </row>
    <row r="2" spans="1:11" ht="30" customHeight="1">
      <c r="A2" s="218"/>
      <c r="B2" s="218"/>
      <c r="C2" s="218"/>
      <c r="D2" s="218"/>
      <c r="E2" s="218"/>
      <c r="F2" s="218"/>
      <c r="G2" s="218"/>
      <c r="H2" s="218"/>
      <c r="I2" s="218"/>
      <c r="J2" s="218"/>
      <c r="K2" s="218"/>
    </row>
    <row r="3" spans="1:11" ht="19.5" customHeight="1">
      <c r="A3" s="219" t="s">
        <v>458</v>
      </c>
      <c r="B3" s="220" t="s">
        <v>459</v>
      </c>
      <c r="C3" s="221" t="s">
        <v>460</v>
      </c>
      <c r="D3" s="222" t="s">
        <v>461</v>
      </c>
      <c r="E3" s="222"/>
      <c r="F3" s="222"/>
      <c r="G3" s="222"/>
      <c r="H3" s="223" t="s">
        <v>462</v>
      </c>
      <c r="I3" s="223"/>
      <c r="J3" s="223"/>
      <c r="K3" s="223"/>
    </row>
    <row r="4" spans="1:11" ht="19.5" customHeight="1">
      <c r="A4" s="219"/>
      <c r="B4" s="220"/>
      <c r="C4" s="221"/>
      <c r="D4" s="156">
        <v>30</v>
      </c>
      <c r="E4" s="157">
        <f>D4+30</f>
        <v>60</v>
      </c>
      <c r="F4" s="157">
        <f>E4+30</f>
        <v>90</v>
      </c>
      <c r="G4" s="158">
        <f>F4+30</f>
        <v>120</v>
      </c>
      <c r="H4" s="159">
        <v>30</v>
      </c>
      <c r="I4" s="160">
        <f>H4+30</f>
        <v>60</v>
      </c>
      <c r="J4" s="160">
        <f>I4+30</f>
        <v>90</v>
      </c>
      <c r="K4" s="161">
        <f>J4+30</f>
        <v>120</v>
      </c>
    </row>
    <row r="5" spans="1:11" ht="30" customHeight="1">
      <c r="A5" s="162" t="s">
        <v>10</v>
      </c>
      <c r="B5" s="163">
        <v>54016.57</v>
      </c>
      <c r="C5" s="164">
        <f aca="true" t="shared" si="0" ref="C5:C10">B5*1.1858</f>
        <v>64052.848706</v>
      </c>
      <c r="D5" s="165">
        <f>3/12</f>
        <v>0.25</v>
      </c>
      <c r="E5" s="166">
        <f>3/12</f>
        <v>0.25</v>
      </c>
      <c r="F5" s="166">
        <f>3/12</f>
        <v>0.25</v>
      </c>
      <c r="G5" s="167">
        <f>3/12</f>
        <v>0.25</v>
      </c>
      <c r="H5" s="168">
        <f>$C$5*D5</f>
        <v>16013.2121765</v>
      </c>
      <c r="I5" s="169">
        <f>$C$5*E5</f>
        <v>16013.2121765</v>
      </c>
      <c r="J5" s="169">
        <f>$C$5*F5</f>
        <v>16013.2121765</v>
      </c>
      <c r="K5" s="170">
        <f>$C$5*G5</f>
        <v>16013.2121765</v>
      </c>
    </row>
    <row r="6" spans="1:11" ht="30" customHeight="1">
      <c r="A6" s="171" t="s">
        <v>62</v>
      </c>
      <c r="B6" s="172">
        <v>51316.07</v>
      </c>
      <c r="C6" s="173">
        <f t="shared" si="0"/>
        <v>60850.595806</v>
      </c>
      <c r="D6" s="174">
        <f>1/4</f>
        <v>0.25</v>
      </c>
      <c r="E6" s="175">
        <f>3/4</f>
        <v>0.75</v>
      </c>
      <c r="F6" s="175">
        <v>0</v>
      </c>
      <c r="G6" s="176">
        <v>0</v>
      </c>
      <c r="H6" s="177">
        <f>$C$6*D6</f>
        <v>15212.6489515</v>
      </c>
      <c r="I6" s="178">
        <f>$C$6*E6</f>
        <v>45637.9468545</v>
      </c>
      <c r="J6" s="178">
        <f>$C$6*F6</f>
        <v>0</v>
      </c>
      <c r="K6" s="179">
        <f>$C$6*G6</f>
        <v>0</v>
      </c>
    </row>
    <row r="7" spans="1:11" ht="30" customHeight="1">
      <c r="A7" s="171" t="s">
        <v>252</v>
      </c>
      <c r="B7" s="172">
        <v>272510.68</v>
      </c>
      <c r="C7" s="173">
        <f t="shared" si="0"/>
        <v>323143.164344</v>
      </c>
      <c r="D7" s="174">
        <f>2/9</f>
        <v>0.2222222222222222</v>
      </c>
      <c r="E7" s="180">
        <f>3/9</f>
        <v>0.3333333333333333</v>
      </c>
      <c r="F7" s="180">
        <f>3/9</f>
        <v>0.3333333333333333</v>
      </c>
      <c r="G7" s="181">
        <f>1/9</f>
        <v>0.1111111111111111</v>
      </c>
      <c r="H7" s="177">
        <f>$C$7*D7</f>
        <v>71809.59207644445</v>
      </c>
      <c r="I7" s="178">
        <f>$C$7*E7</f>
        <v>107714.38811466665</v>
      </c>
      <c r="J7" s="178">
        <f>$C$7*F7</f>
        <v>107714.38811466665</v>
      </c>
      <c r="K7" s="179">
        <f>$C$7*G7</f>
        <v>35904.79603822222</v>
      </c>
    </row>
    <row r="8" spans="1:11" ht="30" customHeight="1">
      <c r="A8" s="171" t="s">
        <v>381</v>
      </c>
      <c r="B8" s="172">
        <v>63702.06</v>
      </c>
      <c r="C8" s="173">
        <f t="shared" si="0"/>
        <v>75537.902748</v>
      </c>
      <c r="D8" s="174">
        <v>0</v>
      </c>
      <c r="E8" s="180">
        <f>1/6</f>
        <v>0.16666666666666666</v>
      </c>
      <c r="F8" s="180">
        <f>3/6</f>
        <v>0.5</v>
      </c>
      <c r="G8" s="181">
        <f>2/6</f>
        <v>0.3333333333333333</v>
      </c>
      <c r="H8" s="177">
        <f>$C$8*D8</f>
        <v>0</v>
      </c>
      <c r="I8" s="178">
        <f>$C$8*E8</f>
        <v>12589.650457999998</v>
      </c>
      <c r="J8" s="178">
        <f>$C$8*F8</f>
        <v>37768.951374</v>
      </c>
      <c r="K8" s="179">
        <f>$C$8*G8</f>
        <v>25179.300915999997</v>
      </c>
    </row>
    <row r="9" spans="1:11" ht="30" customHeight="1">
      <c r="A9" s="171" t="s">
        <v>400</v>
      </c>
      <c r="B9" s="172">
        <v>22617.39</v>
      </c>
      <c r="C9" s="173">
        <f t="shared" si="0"/>
        <v>26819.701062</v>
      </c>
      <c r="D9" s="174">
        <v>0</v>
      </c>
      <c r="E9" s="180">
        <v>0</v>
      </c>
      <c r="F9" s="180">
        <f>1/3</f>
        <v>0.3333333333333333</v>
      </c>
      <c r="G9" s="181">
        <f>2/3</f>
        <v>0.6666666666666666</v>
      </c>
      <c r="H9" s="177">
        <f>$C$9*D9</f>
        <v>0</v>
      </c>
      <c r="I9" s="178">
        <f>$C$9*E9</f>
        <v>0</v>
      </c>
      <c r="J9" s="178">
        <f>$C$9*F9</f>
        <v>8939.900354</v>
      </c>
      <c r="K9" s="179">
        <f>$C$9*G9</f>
        <v>17879.800708</v>
      </c>
    </row>
    <row r="10" spans="1:11" ht="30" customHeight="1">
      <c r="A10" s="182" t="s">
        <v>427</v>
      </c>
      <c r="B10" s="183">
        <v>21489.4</v>
      </c>
      <c r="C10" s="184">
        <f t="shared" si="0"/>
        <v>25482.130520000002</v>
      </c>
      <c r="D10" s="185">
        <v>0</v>
      </c>
      <c r="E10" s="186">
        <v>0</v>
      </c>
      <c r="F10" s="186">
        <v>0</v>
      </c>
      <c r="G10" s="187">
        <f>3/3</f>
        <v>1</v>
      </c>
      <c r="H10" s="188">
        <f>$C$10*D10</f>
        <v>0</v>
      </c>
      <c r="I10" s="189">
        <f>$C$10*E10</f>
        <v>0</v>
      </c>
      <c r="J10" s="189">
        <f>$C$10*F10</f>
        <v>0</v>
      </c>
      <c r="K10" s="190">
        <f>$C$10*G10</f>
        <v>25482.130520000002</v>
      </c>
    </row>
    <row r="11" spans="1:11" ht="30" customHeight="1">
      <c r="A11" s="191" t="s">
        <v>463</v>
      </c>
      <c r="B11" s="192">
        <f>ROUND(SUM(B5:B10),2)</f>
        <v>485652.17</v>
      </c>
      <c r="C11" s="193">
        <f>ROUND(SUM(C5:C10),2)+0.01</f>
        <v>575886.35</v>
      </c>
      <c r="D11" s="194"/>
      <c r="E11" s="194"/>
      <c r="F11" s="194"/>
      <c r="G11" s="194"/>
      <c r="H11" s="192">
        <f>ROUND(SUM(H5:H10),2)</f>
        <v>103035.45</v>
      </c>
      <c r="I11" s="192">
        <f>ROUND(SUM(I5:I10),2)</f>
        <v>181955.2</v>
      </c>
      <c r="J11" s="192">
        <f>ROUND(SUM(J5:J10),2)</f>
        <v>170436.45</v>
      </c>
      <c r="K11" s="192">
        <f>ROUND(SUM(K5:K10),2)+0.01</f>
        <v>120459.25</v>
      </c>
    </row>
    <row r="12" spans="1:11" ht="12.75">
      <c r="A12" s="155"/>
      <c r="B12" s="155"/>
      <c r="C12" s="155"/>
      <c r="D12" s="155"/>
      <c r="E12" s="155"/>
      <c r="F12" s="155"/>
      <c r="G12" s="155"/>
      <c r="H12" s="155"/>
      <c r="I12" s="155"/>
      <c r="J12" s="155"/>
      <c r="K12" s="155"/>
    </row>
    <row r="13" spans="1:11" ht="12.75">
      <c r="A13" s="155"/>
      <c r="B13" s="155"/>
      <c r="C13" s="155"/>
      <c r="D13" s="155"/>
      <c r="E13" s="155"/>
      <c r="F13" s="155"/>
      <c r="G13" s="155"/>
      <c r="H13" s="155"/>
      <c r="I13" s="155"/>
      <c r="J13" s="155"/>
      <c r="K13" s="155"/>
    </row>
    <row r="14" spans="1:11" ht="12.75">
      <c r="A14" s="155"/>
      <c r="B14" s="155"/>
      <c r="C14" s="155"/>
      <c r="D14" s="155"/>
      <c r="E14" s="155"/>
      <c r="F14" s="155"/>
      <c r="G14" s="155"/>
      <c r="H14" s="224"/>
      <c r="I14" s="224"/>
      <c r="J14" s="224"/>
      <c r="K14" s="224"/>
    </row>
    <row r="15" spans="1:11" ht="12.75">
      <c r="A15" s="155"/>
      <c r="B15" s="155"/>
      <c r="C15" s="155"/>
      <c r="D15" s="155"/>
      <c r="E15" s="155"/>
      <c r="F15" s="155"/>
      <c r="G15" s="155"/>
      <c r="H15" s="224"/>
      <c r="I15" s="224"/>
      <c r="J15" s="224"/>
      <c r="K15" s="224"/>
    </row>
    <row r="16" spans="1:11" ht="12.75">
      <c r="A16" s="155"/>
      <c r="B16" s="155"/>
      <c r="C16" s="155"/>
      <c r="D16" s="155"/>
      <c r="E16" s="155"/>
      <c r="F16" s="155"/>
      <c r="G16" s="155"/>
      <c r="H16" s="195"/>
      <c r="I16" s="195"/>
      <c r="J16" s="195"/>
      <c r="K16" s="195"/>
    </row>
    <row r="17" s="155" customFormat="1" ht="12.75"/>
    <row r="18" s="155" customFormat="1" ht="12.75"/>
    <row r="19" s="155" customFormat="1" ht="12.75"/>
    <row r="20" s="155" customFormat="1" ht="12.75"/>
    <row r="21" s="155" customFormat="1" ht="12.75"/>
    <row r="22" s="155" customFormat="1" ht="12.75"/>
  </sheetData>
  <sheetProtection selectLockedCells="1" selectUnlockedCells="1"/>
  <mergeCells count="7">
    <mergeCell ref="H14:K15"/>
    <mergeCell ref="A1:K2"/>
    <mergeCell ref="A3:A4"/>
    <mergeCell ref="B3:B4"/>
    <mergeCell ref="C3:C4"/>
    <mergeCell ref="D3:G3"/>
    <mergeCell ref="H3:K3"/>
  </mergeCells>
  <printOptions/>
  <pageMargins left="0.5118055555555555" right="0.5118055555555555" top="0.7875" bottom="0.78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H12"/>
  <sheetViews>
    <sheetView workbookViewId="0" topLeftCell="A4">
      <selection activeCell="E11" sqref="A1:IV16384"/>
    </sheetView>
  </sheetViews>
  <sheetFormatPr defaultColWidth="9.140625" defaultRowHeight="12.75"/>
  <cols>
    <col min="1" max="5" width="20.7109375" style="110" customWidth="1"/>
    <col min="6" max="6" width="12.421875" style="111" customWidth="1"/>
    <col min="7" max="7" width="11.00390625" style="111" customWidth="1"/>
    <col min="8" max="8" width="9.140625" style="111" customWidth="1"/>
    <col min="9" max="16384" width="9.140625" style="110" customWidth="1"/>
  </cols>
  <sheetData>
    <row r="1" spans="1:5" s="196" customFormat="1" ht="15" customHeight="1">
      <c r="A1" s="225" t="s">
        <v>464</v>
      </c>
      <c r="B1" s="225"/>
      <c r="C1" s="225"/>
      <c r="D1" s="225"/>
      <c r="E1" s="225"/>
    </row>
    <row r="2" spans="1:5" s="197" customFormat="1" ht="15" customHeight="1">
      <c r="A2" s="225"/>
      <c r="B2" s="225"/>
      <c r="C2" s="225"/>
      <c r="D2" s="225"/>
      <c r="E2" s="225"/>
    </row>
    <row r="3" spans="1:8" s="201" customFormat="1" ht="34.5" customHeight="1">
      <c r="A3" s="198" t="s">
        <v>465</v>
      </c>
      <c r="B3" s="198" t="s">
        <v>466</v>
      </c>
      <c r="C3" s="198" t="s">
        <v>467</v>
      </c>
      <c r="D3" s="198" t="s">
        <v>468</v>
      </c>
      <c r="E3" s="199" t="s">
        <v>469</v>
      </c>
      <c r="F3" s="200"/>
      <c r="G3" s="200"/>
      <c r="H3" s="200"/>
    </row>
    <row r="4" spans="1:5" ht="60" customHeight="1">
      <c r="A4" s="202" t="s">
        <v>470</v>
      </c>
      <c r="B4" s="202" t="s">
        <v>470</v>
      </c>
      <c r="C4" s="202" t="s">
        <v>470</v>
      </c>
      <c r="D4" s="202" t="s">
        <v>470</v>
      </c>
      <c r="E4" s="203"/>
    </row>
    <row r="5" spans="1:8" s="201" customFormat="1" ht="34.5" customHeight="1">
      <c r="A5" s="204">
        <f>A6/E6</f>
        <v>0.17891629138283968</v>
      </c>
      <c r="B5" s="204">
        <f>B6/E6</f>
        <v>0.31595678557062523</v>
      </c>
      <c r="C5" s="204">
        <f>C6/E6</f>
        <v>0.29595500917846035</v>
      </c>
      <c r="D5" s="204">
        <f>D6/E6</f>
        <v>0.20917191386807485</v>
      </c>
      <c r="E5" s="205">
        <f>A5+B5+C5+D5</f>
        <v>1</v>
      </c>
      <c r="F5" s="200"/>
      <c r="G5" s="200"/>
      <c r="H5" s="200"/>
    </row>
    <row r="6" spans="1:8" s="201" customFormat="1" ht="34.5" customHeight="1">
      <c r="A6" s="206">
        <v>103035.45</v>
      </c>
      <c r="B6" s="206">
        <v>181955.2</v>
      </c>
      <c r="C6" s="206">
        <v>170436.45</v>
      </c>
      <c r="D6" s="206">
        <f>(120459.24)+0.01</f>
        <v>120459.25</v>
      </c>
      <c r="E6" s="207">
        <v>575886.35</v>
      </c>
      <c r="F6" s="200"/>
      <c r="G6" s="200"/>
      <c r="H6" s="200"/>
    </row>
    <row r="7" s="111" customFormat="1" ht="12.75"/>
    <row r="8" s="111" customFormat="1" ht="12.75"/>
    <row r="9" s="111" customFormat="1" ht="12.75"/>
    <row r="10" s="111" customFormat="1" ht="12.75"/>
    <row r="11" spans="4:5" s="111" customFormat="1" ht="12.75">
      <c r="D11" s="208"/>
      <c r="E11" s="208"/>
    </row>
    <row r="12" s="111" customFormat="1" ht="12.75">
      <c r="D12" s="208"/>
    </row>
  </sheetData>
  <sheetProtection selectLockedCells="1" selectUnlockedCells="1"/>
  <mergeCells count="1">
    <mergeCell ref="A1:E2"/>
  </mergeCells>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antonio.carlos</dc:creator>
  <cp:keywords/>
  <dc:description/>
  <cp:lastModifiedBy>antonio.carlos</cp:lastModifiedBy>
  <cp:lastPrinted>2020-01-30T19:13:53Z</cp:lastPrinted>
  <dcterms:modified xsi:type="dcterms:W3CDTF">2020-01-30T19:15:55Z</dcterms:modified>
  <cp:category/>
  <cp:version/>
  <cp:contentType/>
  <cp:contentStatus/>
</cp:coreProperties>
</file>