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477" activeTab="0"/>
  </bookViews>
  <sheets>
    <sheet name="PLANILHA" sheetId="1" r:id="rId1"/>
    <sheet name="crono_execução" sheetId="2" r:id="rId2"/>
    <sheet name="crono_desembolso" sheetId="3" r:id="rId3"/>
    <sheet name="COMPOSIÇÕES" sheetId="4" r:id="rId4"/>
  </sheets>
  <definedNames>
    <definedName name="_xlnm.Print_Area" localSheetId="3">'COMPOSIÇÕES'!$A$1:$K$18</definedName>
    <definedName name="_xlnm.Print_Area" localSheetId="0">'PLANILHA'!$A$1:$I$54</definedName>
    <definedName name="Excel_BuiltIn_Print_Area" localSheetId="0">'PLANILHA'!$A$1:$G$56</definedName>
    <definedName name="Excel_BuiltIn_Print_Titles" localSheetId="0">'PLANILHA'!$A$1:$IT$10</definedName>
    <definedName name="_xlnm.Print_Titles" localSheetId="0">'PLANILHA'!$1:$10</definedName>
  </definedNames>
  <calcPr fullCalcOnLoad="1"/>
</workbook>
</file>

<file path=xl/sharedStrings.xml><?xml version="1.0" encoding="utf-8"?>
<sst xmlns="http://schemas.openxmlformats.org/spreadsheetml/2006/main" count="273" uniqueCount="193">
  <si>
    <t>Item</t>
  </si>
  <si>
    <t>Código</t>
  </si>
  <si>
    <t>Descrição</t>
  </si>
  <si>
    <t>Unidade</t>
  </si>
  <si>
    <t>Quantidade</t>
  </si>
  <si>
    <t>$ Unitário</t>
  </si>
  <si>
    <t>$  Parcial</t>
  </si>
  <si>
    <t>1.0</t>
  </si>
  <si>
    <t>SERVIÇOS PRELIMINARES E DIVERSOS</t>
  </si>
  <si>
    <t>1.01</t>
  </si>
  <si>
    <t>02.020.0003-A</t>
  </si>
  <si>
    <t>PLACA DE IDENTIFICACAO DE OBRA PUBLICA,TIPO BANNER/PLOTTER,CONSTITUIDA POR LONA E IMPRESSAO DIGITAL,EXCLUSIVE SUPORTE DEMADEIRA.FORNECIMENTO E COLOCACAO</t>
  </si>
  <si>
    <t>M2</t>
  </si>
  <si>
    <t>2,00m de comprimento x 1,00m de altura</t>
  </si>
  <si>
    <t>1.02</t>
  </si>
  <si>
    <t>1.03</t>
  </si>
  <si>
    <t>1.04</t>
  </si>
  <si>
    <t>1.05</t>
  </si>
  <si>
    <t>UN</t>
  </si>
  <si>
    <t>M</t>
  </si>
  <si>
    <t>2.0</t>
  </si>
  <si>
    <t>2.01</t>
  </si>
  <si>
    <t>2.02</t>
  </si>
  <si>
    <t>3.0</t>
  </si>
  <si>
    <t>3.01</t>
  </si>
  <si>
    <t>3.03</t>
  </si>
  <si>
    <t>4.0</t>
  </si>
  <si>
    <t>4.01</t>
  </si>
  <si>
    <t>4.02</t>
  </si>
  <si>
    <t>4.03</t>
  </si>
  <si>
    <t>4.04</t>
  </si>
  <si>
    <t>5.0</t>
  </si>
  <si>
    <t>REVESTIMENTOS</t>
  </si>
  <si>
    <t>PINTURA</t>
  </si>
  <si>
    <t xml:space="preserve">Subtotal :    </t>
  </si>
  <si>
    <t xml:space="preserve">Total do orçamento :    </t>
  </si>
  <si>
    <t>30 DIAS</t>
  </si>
  <si>
    <t>APÓS A DATA DE AUTORIZAÇÃO DE INÍCIO DOS SERVIÇOS</t>
  </si>
  <si>
    <t>ITEM  / DESCRIÇÃO</t>
  </si>
  <si>
    <t>DIAS</t>
  </si>
  <si>
    <t>Mês/Ano referência : 09/2019</t>
  </si>
  <si>
    <t xml:space="preserve">B.D.I.(22,23%) :    </t>
  </si>
  <si>
    <t>UNXMES</t>
  </si>
  <si>
    <t>H</t>
  </si>
  <si>
    <t>1.06</t>
  </si>
  <si>
    <t>1.07</t>
  </si>
  <si>
    <t>1.08</t>
  </si>
  <si>
    <t>1.09</t>
  </si>
  <si>
    <t>15.007.0575-A</t>
  </si>
  <si>
    <t>DISJUNTOR TERMOMAGNETICO,BIPOLAR,DE 10 A 50AX250V.FORNECIMENTO E COLOCACAO</t>
  </si>
  <si>
    <t>COBERTURA</t>
  </si>
  <si>
    <t>2.03</t>
  </si>
  <si>
    <t>2.04</t>
  </si>
  <si>
    <t>2.05</t>
  </si>
  <si>
    <t>4.05</t>
  </si>
  <si>
    <t>60 DIAS</t>
  </si>
  <si>
    <t>90 DIAS</t>
  </si>
  <si>
    <t>TOTAL</t>
  </si>
  <si>
    <t>Raciocínio cronograma desembolso</t>
  </si>
  <si>
    <t>05.006.0002-B</t>
  </si>
  <si>
    <t>MXMES</t>
  </si>
  <si>
    <t>05.006.0010-A</t>
  </si>
  <si>
    <t>05.008.0001-A</t>
  </si>
  <si>
    <t>MONTAGEM E DESMONTAGEM DE ANDAIME COM ELEMENTOS TUBULARES, CONSIDERANDO-SE A AREA VERTICAL RECOBERTA</t>
  </si>
  <si>
    <t>04.020.0122-A</t>
  </si>
  <si>
    <t>M2XKM</t>
  </si>
  <si>
    <t>04.021.0010-A</t>
  </si>
  <si>
    <t>CARGA E DESCARGA MANUAL DE ANDAIME TUBULAR, INCLUSIVE TEMPO DE ESPERA DO CAMINHAO, CONSIDERANDO-SE A AREA DE PROJECAO VERTICAL</t>
  </si>
  <si>
    <t>05.007.0007-A</t>
  </si>
  <si>
    <t>ALUGUEL DE PASSARELA METALICA, PERFURADA, PARA ANDAIME METALICO TUBULAR, INCLUSIVE TRANSPORTE, CARGA E DESCARGA, EXCLUSIVE ANDAIME TUBULAR E MOVIMENTACAO (VIDE ITEM 05.008.0008)</t>
  </si>
  <si>
    <t>M2XMES</t>
  </si>
  <si>
    <t>05.008.0009-A</t>
  </si>
  <si>
    <t>MOVIMENTACAO HORIZONTAL DE ANDAIME COM ELEMENTOS TUBULARES TIPO TORRE</t>
  </si>
  <si>
    <t>01.050.0614-A</t>
  </si>
  <si>
    <t>MAO-DE-OBRA DE ARQUITETO OU ENGENHEIRO JUNIOR,PARA SERVICOS DE CONSULTORIA DE ENGENHARIA E ARQUITETURA,INCLUSIVE ENCARGOS SOCIAIS</t>
  </si>
  <si>
    <t>05.001.0040-A</t>
  </si>
  <si>
    <t>REMOCAO DE COBERTURA EM TELHAS DE ALUMINIO, EXCLUSIVE SUPORTE, ESTRUTURA OU MADEIRAMENTO, MEDIDA PELA AREA REAL DE COBERTURA</t>
  </si>
  <si>
    <t>05.002.0065-A</t>
  </si>
  <si>
    <t>DEMOLICAO E REMOCAO DE ESTRUTURAS METALICAS TRELICADAS DE VERGALHOES E/OU PERFIS LEVES DE ACO, MEDIDAS PELO PESO REMOVIDO</t>
  </si>
  <si>
    <t>KG</t>
  </si>
  <si>
    <t>05.105.0017-A</t>
  </si>
  <si>
    <t>MAO-DE-OBRA DE SOLDADOR, INCLUSIVE ENCARGOS SOCIAIS</t>
  </si>
  <si>
    <t>05.105.0016-A</t>
  </si>
  <si>
    <t>MAO-DE-OBRA DE AJUDANTE, INCLUSIVE ENCARGOS SOCIAIS</t>
  </si>
  <si>
    <t>16.005.0001-A</t>
  </si>
  <si>
    <t>COBERTURA EM TELHAS ONDULADAS DE ALUMINIO, COM ESPESSURA DE 0,5MM, SOBREPOSICAO LATERAL DE UMA ONDA E LONGITUDINAL DE 0,20M, FIXACAO COM PARAFUSOS OU HASTES DE ALUMINIO, 5/16"X250MM COM ROSCA, EXCLUSIVE MADEIRAMENTO E CUMEEIRA. MEDIDA PELA AREA REAL DE COBERTURA. FORNECIMENTO E COLOCACAO</t>
  </si>
  <si>
    <t>17.018.0110-A</t>
  </si>
  <si>
    <t>17.040.0024-A</t>
  </si>
  <si>
    <t>17.040.0021-A</t>
  </si>
  <si>
    <t>17.017.0321-A</t>
  </si>
  <si>
    <t>INSTALAÇÕES ELÉTRICAS</t>
  </si>
  <si>
    <t>15.020.0095-A</t>
  </si>
  <si>
    <t>ALUGUEL DE TORRE-ANDAIME TUBULAR SOBRE RODIZIOS,EXCLUSIVE ALUGUEL DOS RODIZIOS,TRANSPORTE DOS ELEMENTOS DA TORRE,PLATAFORMA OU PASSARELA DE PINHO,MONTAGEM E DESMONTAGEM</t>
  </si>
  <si>
    <t>ALUGUEL DE RODIZIOS DE FERRO,PARA TORRE TUBULAR.CUSTO PARA 4RODIZIOS</t>
  </si>
  <si>
    <t>LAMPADA DE VAPOR METALICO OVOIDE DE 400W-220V.FORNECIMENTO ECOLOCACAO</t>
  </si>
  <si>
    <t>2.06</t>
  </si>
  <si>
    <t>PINTURA COM TINTA LATEX SEMIBRILHANTE,FOSCA OU ACETINADA,CLASSIFICACAO PREMIUM OU STANDARD (NBR 15079),PARA INTERIOR E EXTERIOR,INCOLOR OU COLORIDA,SOBRE TIJOLO,CONCRETO LISO,CIMENTO SEM AMIANTO,REVESTIMENTO,MADEIRA E FERRO,INCLUSIVE LIXAMENTO,UMA DEMAO DE SELADOR ACRILICO E DUAS DEMAOS DE ACABAMENTO</t>
  </si>
  <si>
    <t>PINTURA DE PISO CIMENTADO LISO COM TINTA 100% ACRILICA,INCLUSIVE LIXAMENTO,LIMPEZA E TRES DEMAOS DE ACABAMENTO APLICADASA ROLO DE LA,DILUICAO EM AGUA A 20%</t>
  </si>
  <si>
    <t>MARCACAO DE QUADRA DE ESPORTE OU VAGA DE GARAGEM COM TINTA ACRILICA PROPRIA PARA PINTURA DE PISOS,COM UTILIZACAO DE SELADOR E SOLVENTE PROPRIO E FITA CREPE COMO LIMITADOR DE LINHAS,MEDIDA PELA AREA REAL DE PINTURA</t>
  </si>
  <si>
    <t>REPINTURA INTERNA OU EXTERNA SOBRE FERRO EM BOM ESTADO,NAS CONDICOES DO ITEM 17.017.0320 E NA COR EXISTENTE</t>
  </si>
  <si>
    <t>CANTONEIRA DE AÇO, COM ABAS IGUAIS, DE: (1 1/2"x3/16")</t>
  </si>
  <si>
    <t>CANTONEIRA DE AÇO, COM ABAS IGUAIS, DE: (2"x3/16")</t>
  </si>
  <si>
    <t>2.07</t>
  </si>
  <si>
    <t>2.08</t>
  </si>
  <si>
    <t>2.09</t>
  </si>
  <si>
    <t>TRANSPORTE DE ANDAIME TUBULAR,CONSIDERANDO-SE A AREA DE PROJECAO VERTICAL DO ANDAIME,EXCLUSIVE CARGA,DESCARGA E TEMPO DEESPERA DO CAMINHAO(VIDE ITEM 04.021.0010)</t>
  </si>
  <si>
    <t>2un x 2 meses</t>
  </si>
  <si>
    <t>2 torres x 8,00m de altura x 2 meses</t>
  </si>
  <si>
    <t>2 torres x 2,00m de largura x 8,00m de altura x 50Km (distância percorrida - 75Km de Macaé até Quissamã)</t>
  </si>
  <si>
    <t>02 torres x 2,00m de largura x 8,00m de altura</t>
  </si>
  <si>
    <t>2 unidades x 2,00m de comprimento x 1,00m de largura</t>
  </si>
  <si>
    <t>39,20m de comprimento das terças x 17 unidades + 24,00m de comprimento dos arcos x 8 unidades</t>
  </si>
  <si>
    <t>16.005.0001-F</t>
  </si>
  <si>
    <t>TRECHO 1: 27,70m x 1,83m + 6,14m x 1,83m - 6,60m x 1,83m + TRECHO 2: 39,20m x 1,50m + TRECHO 3: 11,53m x 1,50m + 16,17m x 1,50m + TRECHO 4: 11,53m x 1,50m + 5,39m x 1,50m + TRECHO 5: 6,14m x 1,50m + 5,39m x 1,50m + TRECHO 6: 6,14m x 1,50m + TRECHO 7: 6,14m x 1,50m + TRECHO 9: 6,14m x 1,50m - 1,10m x 1,575m + TRECHO 10: 6,14m x 1,50m + 6,14m x 1,50m + TRECHO 11: 6,14m x 1,50m + 6,14m x 1,50m + TRECHO 12: 6,14m x 1,50m + TRECHO 13: 6,14m x 1,50m  + TRECHO 14: 6,14m x 1,50m + TRECHO 15: 11,53m x 1,50m + TRECHO 15: 11,53m x 1,50m</t>
  </si>
  <si>
    <t>Idem item 2.02</t>
  </si>
  <si>
    <t>40 hs por semana x 2 semanas</t>
  </si>
  <si>
    <t>RECOLOCAÇÃO DE COBERTURA EM TELHAS ONDULADAS DE ALUMINIO,COM ESPESSURA DE 0,5MM, EXCLUSIVE TELHAS, MADEIRAMENTO E CUMMEIRA, INCLUSIVE SOBREPOSICAO LATERAL DE UMA ONDA E LONGITUDINAL DE 0,20M, FIXACAO COM PARAFUSOS OU HASTES DE ALUMINIO,5/16"X250MM COM ROSCA. MEDIDA PELA AREA REAL DE COBERTURA.</t>
  </si>
  <si>
    <t>SEQ.</t>
  </si>
  <si>
    <t>ELEMENTAR</t>
  </si>
  <si>
    <t>DESCRIÇÃO</t>
  </si>
  <si>
    <t>UN.</t>
  </si>
  <si>
    <t>REUTILIZ.</t>
  </si>
  <si>
    <t>QUANT.</t>
  </si>
  <si>
    <t>PERC.</t>
  </si>
  <si>
    <t>PREÇO</t>
  </si>
  <si>
    <t>REFER.</t>
  </si>
  <si>
    <t>002</t>
  </si>
  <si>
    <t>20046</t>
  </si>
  <si>
    <t>MAO-DE-OBRA DE CARPINTEIRO DE FORMA DE CONCRETO, INCLUSIVE ENCARGOS SOCIAIS DESONERADOS</t>
  </si>
  <si>
    <t>0,30000000</t>
  </si>
  <si>
    <t>3,00</t>
  </si>
  <si>
    <t>003</t>
  </si>
  <si>
    <t>20132</t>
  </si>
  <si>
    <t>MÃO-DE-OBRA DE SERVENTE DA CONSTRUÇÃO CIVIL, INCLUSIVE ENCARGOS SOCIAIS DESONERADOS</t>
  </si>
  <si>
    <t>004</t>
  </si>
  <si>
    <t>07264</t>
  </si>
  <si>
    <t>CONJUNTO DE FIXACAO, PARA TELHA DE ALUMINIO</t>
  </si>
  <si>
    <t>1,50000000</t>
  </si>
  <si>
    <t>0,00</t>
  </si>
  <si>
    <t>001</t>
  </si>
  <si>
    <t>Mês de Referência: 09/2019</t>
  </si>
  <si>
    <t>ELEM0919.DBF</t>
  </si>
  <si>
    <t>Idem item 2.01</t>
  </si>
  <si>
    <t>Trechos destelhados: 6,60m x 1,83m + 1,10m x 3,15m</t>
  </si>
  <si>
    <t>Fachadas longitudinais: 12 vãos, medindo 2,80m de comprimento x 1,90m de altura) + Fachadas transversais: 23 vãos, medindo 3,00m de comprimento x 1,90m de altura)</t>
  </si>
  <si>
    <t>05.105.0009-A</t>
  </si>
  <si>
    <t>MAO-DE-OBRA DE PEDREIRO,INCLUSIVE ENCARGOS SOCIAIS</t>
  </si>
  <si>
    <t>MAT00006094     (CÓD. SINAPI 09/2019_DESONERADO)</t>
  </si>
  <si>
    <t>SELANTE A BASE DE RESINAS ACRILICAS PARA TRINCAS</t>
  </si>
  <si>
    <t>Estimado um galão de 6Kg, que rende 120m</t>
  </si>
  <si>
    <t>Abertura e tratamento de trincas na arquibancada: 8 horas x 1 dia</t>
  </si>
  <si>
    <r>
      <t>MAT027950</t>
    </r>
    <r>
      <rPr>
        <sz val="9"/>
        <color indexed="8"/>
        <rFont val="Arial Narrow1"/>
        <family val="0"/>
      </rPr>
      <t xml:space="preserve">    </t>
    </r>
    <r>
      <rPr>
        <sz val="8"/>
        <color indexed="8"/>
        <rFont val="Arial Narrow1"/>
        <family val="0"/>
      </rPr>
      <t xml:space="preserve"> (CÓD. SCO 09/2019_DESONERADO)</t>
    </r>
  </si>
  <si>
    <r>
      <t xml:space="preserve">MAT028000     </t>
    </r>
    <r>
      <rPr>
        <sz val="8"/>
        <color indexed="8"/>
        <rFont val="Arial Narrow1"/>
        <family val="0"/>
      </rPr>
      <t>(CÓD. SCO 09/2019_DESONERADO)</t>
    </r>
  </si>
  <si>
    <t>ARQUIBANCADA: (02 assentos com 0,50m de largura x 39,20m de comprimento) + (03 espelhos com 0,50m de largura x 39,20m de comprimento) + (área das laterais da arquibancada= 2,61m² +2,44m²) + (parede externa com 2,00m de altura x 39,20m de comprimento + 0,30m x 0,10m x 8 pilares + 1,40m x 0,10m x 6 pilares + 0,80m x 0,50m x 6 pilares + 0,85m x 0,10m x 2 pilares + 0,40m x 0,50m x 2 pilares) + CINTA INFERIOR (87,2m de comprimento x 0,20m de altura) + BASE DOS PILARES (2,28m x 0,74m x 8 unidades)</t>
  </si>
  <si>
    <t>Comprimento da quadra: 39,20m x 22,55m</t>
  </si>
  <si>
    <t>FUTSAL: ((126m (18+18+18+36+36 -linhas de fundo, laterais e meio campo) x 0,10m de espessura da linha)) + ((11,62m (circunferência do meio campo) x 0,10m de espessura da linha)) + ((15,55m (área) x 0,10m de espessura da linha x 02 lados)); HANDEBOL: ((22,76m (área) x 0,10m de espessura da linha x 02 lados)); VÔLEI: ((72M (9+9+9+9+18+18 - linhas do campo) x 0,10m de espessura da linha)); BASQUETE: ((19,48m(circunferência do meio campo) x 0,10m de espessura da linha)) + ((26,70m(garrafão) x 0,10m de espessura da linha x 02 lados))</t>
  </si>
  <si>
    <t>(perímetro da circunferência do alambrado: 2 * 3,14 * 0,025 x comprimento: 24,00m x 06 tubos horizontais  - cabeceiras) + (perímetro da circunferência do alambrado: 2 * 3,14 * 0,025 x comprimento: 39,20m x 05 tubos horizontais - laterais) + (perímetro da circunferência do alambrado: 2 * 3,14 * 0,025 x altura: 2,30m x 07 tubos verticais - lateral 01) + (perímetro da circunferência do alambrado: 2 * 3,14 * 0,025 x altura: 3,80m x 23 tubos verticais - lateral 02 + cabeceiras)</t>
  </si>
  <si>
    <t>58.002.0425-B</t>
  </si>
  <si>
    <t>PINTURA INTERNA/EXTERN.SOBRE FERRO C/TINTA ALQUIDICA ESMALT.BRILH.EQUIV.LAGOLINE, INCL.LIMP.LIXAM.APLIC.ZARCAO 2 DEMAOS</t>
  </si>
  <si>
    <t>6 unidades queimadas</t>
  </si>
  <si>
    <t>1 disjuntor para o circuitos das tomadas</t>
  </si>
  <si>
    <t>00285</t>
  </si>
  <si>
    <t>FIO C/ISOLAMENTO TERMOPLASTICO ANTICHAMADE 750V, DE 02,5MM2</t>
  </si>
  <si>
    <t>45,00000000</t>
  </si>
  <si>
    <t>01983</t>
  </si>
  <si>
    <t>MAO-DE-OBRA DE ELETRICISTA DE CONSTRUÇÃOCIVIL, INCLUSIVE ENCARGOS SOCIAIS</t>
  </si>
  <si>
    <t>6,50000000</t>
  </si>
  <si>
    <t>02370</t>
  </si>
  <si>
    <t>TOMADA ELETRICA 2P+T, 10A/250V, PADRAO BRASILEIRO, DE EMBUTIR, COM PLACA 4"X2"</t>
  </si>
  <si>
    <t>4,00000000</t>
  </si>
  <si>
    <t>05750</t>
  </si>
  <si>
    <t>CAIXA DE LUZ DE PVC, DE 4"x2"</t>
  </si>
  <si>
    <t>15.015.0310-F</t>
  </si>
  <si>
    <t>REINSTALACAO DE UM CONJUNTO DE 4 TOMADAS,EMBUTIDO NA ALVENARIA,EQUIVALENTE A 30,00M DE FIO 2,5MM2,CAIXAS E TOMADAS DE EMBUTIR 2P+T,10A,COM PLACA FOSFORESCENTE, EXCLUSIVE ELETRODUTOS E ABERTURA E FECHAMENTO DE RASGO EM ALVENARIA</t>
  </si>
  <si>
    <t>Reinstalação de tomadas que foram furtadas</t>
  </si>
  <si>
    <t>COMPOSIÇÃO 10935 (CÓD. SINAPI 09/2019_DESONERADO)</t>
  </si>
  <si>
    <t>TELA DE ARAME GALV REVESTIDO EM PVC, QUADRANGULAR / LOSANGULAR, FIO 2,77MM (12 BWG), BITOLA FINAL = *3,8* MM, MALHA 7,5 X 7,5 CM, H = 2 M</t>
  </si>
  <si>
    <t>MAT00010966 (CÓD. SINAPI 09/2019_DESONERADO)</t>
  </si>
  <si>
    <t>PERFIL "U" DE ACO LAMINADO, "U" 152 X 15,6</t>
  </si>
  <si>
    <t>MAT00025398     (CÓD. SINAPI 09/2019_DESONERADO)</t>
  </si>
  <si>
    <t>CONJUNTO PARA FUTSAL COM TRAVES OFICIAIS DE 3,00 X 2,00 M EM TUBO DE ACO GALVANIZADO 3" COM REQUADRO EM TUBO DE 1", PINTURA EM PRIMER COM TINTA ESMALTE SINTETICO E REDES DE POLIETILENO FIO 4 MM</t>
  </si>
  <si>
    <t>1 Par de novos gols</t>
  </si>
  <si>
    <t>3.04</t>
  </si>
  <si>
    <t>PILARES MAIORES: 7,60m de altura x 1,42m(0,49+0,49+0,22+0,22) de largura x 3,5(coeficiente de pintura peças treliçadas) x 8 unidades  + PILARES MENORES: 5,60m de altura x 1,42m(0,49+0,49+0,22+0,22) de largura x 3,5(coeficiente de pintura peças treliçadas) x 8 unidades + ARCO: 24,65m de comprimento x 1,84m(0,70+0,70+0,22+0,22) de largura x 3,5(coeficiente de pintura peças treliçadas) x 8 unidades + TERÇAS: 39,20m de comprimento x 0,5m(0,15+0,15+0,05+0,05+0,05+0,05 - lados do perfil) de comprimento x 17 unidades</t>
  </si>
  <si>
    <t>Consultoria de engenheiro especialista em estruturas metálicas para avaliação e análise de viabilidade da troca de perfis que sofreram corrosão nos pilares e nos arcos da cobertura. Tempo estimado: 20 hs por semana X 4 semanas (tempo estimado para o serviço de troca dos perfis e colocação da cobertura)</t>
  </si>
  <si>
    <t>REFORMA DA QUADRA POLIESPORTIVA DO BAIRRO DO CARMO</t>
  </si>
  <si>
    <t>Substituição estimada de 5% dos perfis dos pilares e das tesouras. Quantitativo real dependerá de avaliação do engenheiro especialista em estruturas metálicas (item 1.09). (PILARES MAIORES: 5% x 8 pilares x 2,48m (por trecho esquemático - Figura 20) x 12 trechos/pilar; PILARES ARQUIBANCADA: 5% x 8 pilares x 2,48m (por trecho esquemático - Figura 20) x 10 trechos/pilar; ARCOS: 5% x 8 tesouras x 3,94m (por trecho esquemático - Figura 21) x 30 trechos/tesoura) x 3,48kg/m de acordo com tabela da Gerdau para cantoneiras de abas iguais (Figura 23)</t>
  </si>
  <si>
    <t>Substituição estimada de 5% dos perfis dos pilares e das tesouras. Quantitativo real dependerá de avaliação do engenheiro especialista em estruturas metálicas (item 1.09). (PILARES MAIORES: 5% x 8 pilares x 1,92m (por trecho esquemático - Figura 20) x 12 trechos/pilar; PILARES ARQUIBANCADA: 5% x 8 pilares x 1,92m (por trecho esquemático - Figura 20) x 10 trechos/pilar; ARCOS: 5% x 8 tesouras x 3,20m (por trecho esquemático - Figura 21) x 30 trechos/tesoura) x 6,99kg/m de acordo com tabela da Gerdau para cantoneiras de abas iguais (Figura 23)</t>
  </si>
  <si>
    <t>(Terça 1: 27,70m + Terça 2: 28,45m + Terça 3: 22,31m + Terça 4: 11,53m + Terça 5: 11,53m + Terça 6: 6,14m + Terça 7: 6,14m + Terça 10: 6,14m + Terça 11: 12,28m + Terça 12: 6,14m + Terça 13: 6,14m + Terça 14: 6,14m + Terça 15: 6,14m + Terça 16: 5,39m + Terça 17: 6,14m) x 15,60kg/metro - De acordo com tabela da Gerdau para perfil U (Figura 22 do Anexo)</t>
  </si>
  <si>
    <t/>
  </si>
  <si>
    <t>5.01</t>
  </si>
  <si>
    <t>5.02</t>
  </si>
  <si>
    <t>5.03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</si>
</sst>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"/>
    <numFmt numFmtId="165" formatCode="00.00"/>
    <numFmt numFmtId="166" formatCode="&quot;R$&quot;#,##0.00_);[Red]&quot;(R$&quot;#,##0.00\)"/>
    <numFmt numFmtId="167" formatCode="&quot;R$&quot;\ #,##0.00;[Red]&quot;R$&quot;\ #,##0.00"/>
    <numFmt numFmtId="168" formatCode="&quot;Mês de Referência: &quot;0&quot;&quot;"/>
    <numFmt numFmtId="169" formatCode="&quot;R$&quot;\ #,##0.00"/>
    <numFmt numFmtId="170" formatCode="0.0000"/>
    <numFmt numFmtId="171" formatCode="&quot;R$&quot;\ #,##0.000;[Red]\-&quot;R$&quot;\ #,##0.000"/>
    <numFmt numFmtId="172" formatCode="&quot;R$&quot;\ #,##0.0000;[Red]\-&quot;R$&quot;\ #,##0.0000"/>
    <numFmt numFmtId="173" formatCode="0.000"/>
    <numFmt numFmtId="174" formatCode="&quot;R$ &quot;#,##0.000"/>
    <numFmt numFmtId="175" formatCode="&quot;R$ &quot;#,##0.0000"/>
    <numFmt numFmtId="176" formatCode="[$-416]dddd\,\ d&quot; de &quot;mmmm&quot; de &quot;yyyy"/>
  </numFmts>
  <fonts count="73">
    <font>
      <sz val="10"/>
      <color indexed="8"/>
      <name val="Arial"/>
      <family val="2"/>
    </font>
    <font>
      <sz val="10"/>
      <name val="Arial"/>
      <family val="0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color indexed="10"/>
      <name val="Arial Narrow"/>
      <family val="2"/>
    </font>
    <font>
      <b/>
      <u val="single"/>
      <sz val="9"/>
      <color indexed="10"/>
      <name val="Arial Narrow"/>
      <family val="2"/>
    </font>
    <font>
      <b/>
      <sz val="9"/>
      <name val="Arial Narrow"/>
      <family val="2"/>
    </font>
    <font>
      <sz val="9.5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name val="Arial Narrow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sz val="10"/>
      <color indexed="48"/>
      <name val="Arial Narrow"/>
      <family val="2"/>
    </font>
    <font>
      <sz val="10"/>
      <color indexed="9"/>
      <name val="Arial Narrow"/>
      <family val="2"/>
    </font>
    <font>
      <b/>
      <u val="single"/>
      <sz val="12"/>
      <name val="Arial Narrow"/>
      <family val="2"/>
    </font>
    <font>
      <sz val="9"/>
      <color indexed="8"/>
      <name val="Arial Narrow1"/>
      <family val="0"/>
    </font>
    <font>
      <sz val="8"/>
      <color indexed="8"/>
      <name val="Arial Narrow1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8"/>
      <name val="Arial Narrow"/>
      <family val="2"/>
    </font>
    <font>
      <sz val="8.5"/>
      <name val="Arial"/>
      <family val="2"/>
    </font>
    <font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sz val="9.5"/>
      <color indexed="10"/>
      <name val="Arial Narrow"/>
      <family val="2"/>
    </font>
    <font>
      <b/>
      <sz val="9"/>
      <color indexed="9"/>
      <name val="Arial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sz val="9.5"/>
      <color rgb="FFFF0000"/>
      <name val="Arial Narrow"/>
      <family val="2"/>
    </font>
    <font>
      <b/>
      <sz val="9"/>
      <color theme="0"/>
      <name val="Arial"/>
      <family val="2"/>
    </font>
    <font>
      <sz val="10.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dotted">
        <color theme="0" tint="-0.24993999302387238"/>
      </top>
      <bottom/>
    </border>
    <border>
      <left/>
      <right/>
      <top style="dotted">
        <color theme="0" tint="-0.24993999302387238"/>
      </top>
      <bottom style="thin"/>
    </border>
    <border>
      <left style="thin"/>
      <right>
        <color indexed="63"/>
      </right>
      <top style="dotted">
        <color theme="0" tint="-0.24993999302387238"/>
      </top>
      <bottom/>
    </border>
    <border>
      <left>
        <color indexed="63"/>
      </left>
      <right style="thin"/>
      <top style="dotted">
        <color theme="0" tint="-0.24993999302387238"/>
      </top>
      <bottom/>
    </border>
    <border>
      <left style="thin"/>
      <right>
        <color indexed="63"/>
      </right>
      <top style="dotted">
        <color theme="0" tint="-0.24993999302387238"/>
      </top>
      <bottom style="thin"/>
    </border>
    <border>
      <left>
        <color indexed="63"/>
      </left>
      <right style="thin"/>
      <top style="dotted">
        <color theme="0" tint="-0.2499399930238723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44" fontId="1" fillId="0" borderId="0" applyFill="0" applyBorder="0" applyAlignment="0" applyProtection="0"/>
    <xf numFmtId="0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12" fillId="0" borderId="0" applyNumberFormat="0" applyFill="0" applyBorder="0">
      <alignment horizontal="left" vertical="top"/>
      <protection locked="0"/>
    </xf>
    <xf numFmtId="0" fontId="60" fillId="21" borderId="5" applyNumberFormat="0" applyAlignment="0" applyProtection="0"/>
    <xf numFmtId="41" fontId="1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1" fillId="0" borderId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49" fontId="4" fillId="33" borderId="0" xfId="46" applyNumberFormat="1" applyFont="1" applyFill="1" applyBorder="1" applyAlignment="1" applyProtection="1">
      <alignment horizontal="center" vertical="center"/>
      <protection/>
    </xf>
    <xf numFmtId="0" fontId="5" fillId="33" borderId="0" xfId="46" applyFont="1" applyFill="1" applyBorder="1" applyAlignment="1" applyProtection="1">
      <alignment vertical="center" wrapText="1"/>
      <protection/>
    </xf>
    <xf numFmtId="0" fontId="4" fillId="33" borderId="0" xfId="46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46" applyFont="1" applyFill="1" applyBorder="1" applyAlignment="1" applyProtection="1">
      <alignment vertical="center"/>
      <protection/>
    </xf>
    <xf numFmtId="0" fontId="4" fillId="33" borderId="0" xfId="46" applyFont="1" applyFill="1" applyBorder="1" applyAlignment="1" applyProtection="1">
      <alignment vertical="center" wrapText="1"/>
      <protection/>
    </xf>
    <xf numFmtId="0" fontId="4" fillId="33" borderId="0" xfId="46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/>
      <protection locked="0"/>
    </xf>
    <xf numFmtId="0" fontId="13" fillId="0" borderId="12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top"/>
      <protection locked="0"/>
    </xf>
    <xf numFmtId="0" fontId="4" fillId="0" borderId="12" xfId="0" applyFont="1" applyBorder="1" applyAlignment="1">
      <alignment horizontal="center" vertical="center" wrapText="1"/>
    </xf>
    <xf numFmtId="10" fontId="15" fillId="0" borderId="12" xfId="0" applyNumberFormat="1" applyFont="1" applyBorder="1" applyAlignment="1">
      <alignment horizontal="center" vertical="center" wrapText="1"/>
    </xf>
    <xf numFmtId="166" fontId="13" fillId="34" borderId="12" xfId="0" applyNumberFormat="1" applyFont="1" applyFill="1" applyBorder="1" applyAlignment="1">
      <alignment horizontal="center" vertical="center" wrapText="1"/>
    </xf>
    <xf numFmtId="0" fontId="4" fillId="33" borderId="13" xfId="51" applyFont="1" applyFill="1" applyBorder="1" applyAlignment="1">
      <alignment vertical="center"/>
      <protection/>
    </xf>
    <xf numFmtId="0" fontId="4" fillId="33" borderId="14" xfId="51" applyFont="1" applyFill="1" applyBorder="1" applyAlignment="1">
      <alignment vertical="center"/>
      <protection/>
    </xf>
    <xf numFmtId="0" fontId="16" fillId="33" borderId="15" xfId="51" applyFont="1" applyFill="1" applyBorder="1" applyAlignment="1">
      <alignment vertical="center"/>
      <protection/>
    </xf>
    <xf numFmtId="0" fontId="16" fillId="33" borderId="16" xfId="51" applyFont="1" applyFill="1" applyBorder="1" applyAlignment="1">
      <alignment vertical="center"/>
      <protection/>
    </xf>
    <xf numFmtId="0" fontId="17" fillId="35" borderId="15" xfId="51" applyFont="1" applyFill="1" applyBorder="1" applyAlignment="1">
      <alignment vertical="center"/>
      <protection/>
    </xf>
    <xf numFmtId="0" fontId="17" fillId="0" borderId="15" xfId="51" applyFont="1" applyFill="1" applyBorder="1" applyAlignment="1">
      <alignment vertical="center"/>
      <protection/>
    </xf>
    <xf numFmtId="0" fontId="17" fillId="0" borderId="16" xfId="51" applyFont="1" applyFill="1" applyBorder="1" applyAlignment="1">
      <alignment vertical="center"/>
      <protection/>
    </xf>
    <xf numFmtId="0" fontId="0" fillId="0" borderId="15" xfId="0" applyBorder="1" applyAlignment="1">
      <alignment/>
    </xf>
    <xf numFmtId="0" fontId="0" fillId="0" borderId="0" xfId="0" applyFill="1" applyAlignment="1" applyProtection="1">
      <alignment vertical="top"/>
      <protection locked="0"/>
    </xf>
    <xf numFmtId="0" fontId="17" fillId="35" borderId="16" xfId="51" applyFont="1" applyFill="1" applyBorder="1" applyAlignment="1">
      <alignment vertical="center"/>
      <protection/>
    </xf>
    <xf numFmtId="0" fontId="17" fillId="33" borderId="17" xfId="51" applyFont="1" applyFill="1" applyBorder="1" applyAlignment="1">
      <alignment vertical="center"/>
      <protection/>
    </xf>
    <xf numFmtId="0" fontId="17" fillId="33" borderId="18" xfId="51" applyFont="1" applyFill="1" applyBorder="1" applyAlignment="1">
      <alignment vertical="center"/>
      <protection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 wrapText="1"/>
    </xf>
    <xf numFmtId="0" fontId="68" fillId="0" borderId="0" xfId="0" applyFont="1" applyAlignment="1" applyProtection="1">
      <alignment vertical="center" wrapText="1"/>
      <protection locked="0"/>
    </xf>
    <xf numFmtId="0" fontId="68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2" fontId="4" fillId="0" borderId="10" xfId="53" applyNumberFormat="1" applyFont="1" applyFill="1" applyBorder="1" applyAlignment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horizontal="center" vertical="top"/>
      <protection locked="0"/>
    </xf>
    <xf numFmtId="4" fontId="1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horizontal="center"/>
    </xf>
    <xf numFmtId="0" fontId="68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69" fillId="0" borderId="0" xfId="46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top" wrapText="1"/>
      <protection locked="0"/>
    </xf>
    <xf numFmtId="0" fontId="69" fillId="0" borderId="0" xfId="0" applyFont="1" applyAlignment="1" applyProtection="1">
      <alignment vertical="top"/>
      <protection locked="0"/>
    </xf>
    <xf numFmtId="4" fontId="69" fillId="0" borderId="0" xfId="0" applyNumberFormat="1" applyFont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>
      <alignment horizontal="center" vertical="center"/>
    </xf>
    <xf numFmtId="0" fontId="69" fillId="0" borderId="0" xfId="0" applyFont="1" applyAlignment="1" applyProtection="1">
      <alignment horizontal="center" vertical="top"/>
      <protection locked="0"/>
    </xf>
    <xf numFmtId="2" fontId="69" fillId="0" borderId="0" xfId="0" applyNumberFormat="1" applyFont="1" applyAlignment="1" applyProtection="1">
      <alignment horizontal="center" vertical="center"/>
      <protection locked="0"/>
    </xf>
    <xf numFmtId="0" fontId="68" fillId="0" borderId="0" xfId="0" applyFont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top" wrapText="1"/>
      <protection locked="0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 applyProtection="1">
      <alignment horizontal="center" vertical="center"/>
      <protection locked="0"/>
    </xf>
    <xf numFmtId="0" fontId="9" fillId="34" borderId="20" xfId="0" applyFont="1" applyFill="1" applyBorder="1" applyAlignment="1" applyProtection="1">
      <alignment vertical="center"/>
      <protection locked="0"/>
    </xf>
    <xf numFmtId="0" fontId="4" fillId="34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vertical="center" wrapText="1"/>
    </xf>
    <xf numFmtId="0" fontId="5" fillId="0" borderId="21" xfId="0" applyFont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0" fillId="33" borderId="22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 vertical="center"/>
      <protection locked="0"/>
    </xf>
    <xf numFmtId="49" fontId="71" fillId="36" borderId="24" xfId="50" applyNumberFormat="1" applyFont="1" applyFill="1" applyBorder="1" applyAlignment="1">
      <alignment horizontal="center" vertical="center" wrapText="1"/>
      <protection/>
    </xf>
    <xf numFmtId="49" fontId="71" fillId="36" borderId="24" xfId="50" applyNumberFormat="1" applyFont="1" applyFill="1" applyBorder="1" applyAlignment="1">
      <alignment horizontal="left" vertical="center" wrapText="1"/>
      <protection/>
    </xf>
    <xf numFmtId="49" fontId="71" fillId="36" borderId="24" xfId="50" applyNumberFormat="1" applyFont="1" applyFill="1" applyBorder="1" applyAlignment="1">
      <alignment horizontal="right" vertical="center" wrapText="1"/>
      <protection/>
    </xf>
    <xf numFmtId="0" fontId="71" fillId="36" borderId="24" xfId="50" applyFont="1" applyFill="1" applyBorder="1" applyAlignment="1">
      <alignment horizontal="right" vertical="center" wrapText="1"/>
      <protection/>
    </xf>
    <xf numFmtId="0" fontId="71" fillId="36" borderId="24" xfId="50" applyFont="1" applyFill="1" applyBorder="1" applyAlignment="1">
      <alignment horizontal="center" vertical="center" wrapText="1"/>
      <protection/>
    </xf>
    <xf numFmtId="49" fontId="10" fillId="37" borderId="24" xfId="50" applyNumberFormat="1" applyFont="1" applyFill="1" applyBorder="1" applyAlignment="1">
      <alignment horizontal="center" vertical="center"/>
      <protection/>
    </xf>
    <xf numFmtId="49" fontId="24" fillId="37" borderId="24" xfId="50" applyNumberFormat="1" applyFont="1" applyFill="1" applyBorder="1" applyAlignment="1">
      <alignment horizontal="left" vertical="center" wrapText="1"/>
      <protection/>
    </xf>
    <xf numFmtId="49" fontId="10" fillId="37" borderId="24" xfId="50" applyNumberFormat="1" applyFont="1" applyFill="1" applyBorder="1" applyAlignment="1">
      <alignment horizontal="center" vertical="center" wrapText="1"/>
      <protection/>
    </xf>
    <xf numFmtId="49" fontId="10" fillId="37" borderId="24" xfId="50" applyNumberFormat="1" applyFont="1" applyFill="1" applyBorder="1" applyAlignment="1">
      <alignment horizontal="right" vertical="center"/>
      <protection/>
    </xf>
    <xf numFmtId="0" fontId="10" fillId="37" borderId="24" xfId="50" applyFont="1" applyFill="1" applyBorder="1" applyAlignment="1">
      <alignment horizontal="right" vertical="center"/>
      <protection/>
    </xf>
    <xf numFmtId="0" fontId="25" fillId="37" borderId="24" xfId="50" applyFont="1" applyFill="1" applyBorder="1" applyAlignment="1">
      <alignment horizontal="right" vertical="center"/>
      <protection/>
    </xf>
    <xf numFmtId="170" fontId="0" fillId="0" borderId="0" xfId="0" applyNumberFormat="1" applyAlignment="1">
      <alignment/>
    </xf>
    <xf numFmtId="49" fontId="10" fillId="37" borderId="25" xfId="50" applyNumberFormat="1" applyFont="1" applyFill="1" applyBorder="1" applyAlignment="1">
      <alignment horizontal="center" vertical="center"/>
      <protection/>
    </xf>
    <xf numFmtId="49" fontId="24" fillId="37" borderId="25" xfId="50" applyNumberFormat="1" applyFont="1" applyFill="1" applyBorder="1" applyAlignment="1">
      <alignment horizontal="left" vertical="center" wrapText="1"/>
      <protection/>
    </xf>
    <xf numFmtId="49" fontId="10" fillId="37" borderId="25" xfId="50" applyNumberFormat="1" applyFont="1" applyFill="1" applyBorder="1" applyAlignment="1">
      <alignment horizontal="center" vertical="center" wrapText="1"/>
      <protection/>
    </xf>
    <xf numFmtId="49" fontId="10" fillId="37" borderId="25" xfId="50" applyNumberFormat="1" applyFont="1" applyFill="1" applyBorder="1" applyAlignment="1">
      <alignment horizontal="right" vertical="center"/>
      <protection/>
    </xf>
    <xf numFmtId="0" fontId="10" fillId="37" borderId="25" xfId="50" applyFont="1" applyFill="1" applyBorder="1" applyAlignment="1">
      <alignment horizontal="right" vertical="center"/>
      <protection/>
    </xf>
    <xf numFmtId="0" fontId="25" fillId="37" borderId="25" xfId="50" applyFont="1" applyFill="1" applyBorder="1" applyAlignment="1">
      <alignment horizontal="right" vertical="center"/>
      <protection/>
    </xf>
    <xf numFmtId="49" fontId="10" fillId="37" borderId="0" xfId="50" applyNumberFormat="1" applyFont="1" applyFill="1" applyBorder="1" applyAlignment="1">
      <alignment horizontal="center" vertical="center"/>
      <protection/>
    </xf>
    <xf numFmtId="49" fontId="24" fillId="37" borderId="0" xfId="50" applyNumberFormat="1" applyFont="1" applyFill="1" applyBorder="1" applyAlignment="1">
      <alignment horizontal="left" vertical="center" wrapText="1"/>
      <protection/>
    </xf>
    <xf numFmtId="49" fontId="26" fillId="37" borderId="0" xfId="50" applyNumberFormat="1" applyFont="1" applyFill="1" applyBorder="1" applyAlignment="1">
      <alignment horizontal="center" vertical="center" wrapText="1"/>
      <protection/>
    </xf>
    <xf numFmtId="49" fontId="27" fillId="37" borderId="0" xfId="50" applyNumberFormat="1" applyFont="1" applyFill="1" applyBorder="1" applyAlignment="1">
      <alignment horizontal="center" vertical="center" wrapText="1"/>
      <protection/>
    </xf>
    <xf numFmtId="49" fontId="27" fillId="37" borderId="0" xfId="50" applyNumberFormat="1" applyFont="1" applyFill="1" applyBorder="1" applyAlignment="1">
      <alignment horizontal="right" vertical="center"/>
      <protection/>
    </xf>
    <xf numFmtId="0" fontId="27" fillId="37" borderId="0" xfId="50" applyFont="1" applyFill="1" applyBorder="1" applyAlignment="1">
      <alignment horizontal="right" vertical="center"/>
      <protection/>
    </xf>
    <xf numFmtId="169" fontId="26" fillId="37" borderId="0" xfId="50" applyNumberFormat="1" applyFont="1" applyFill="1" applyBorder="1" applyAlignment="1">
      <alignment horizontal="right" vertical="center"/>
      <protection/>
    </xf>
    <xf numFmtId="169" fontId="0" fillId="0" borderId="0" xfId="0" applyNumberFormat="1" applyAlignment="1">
      <alignment/>
    </xf>
    <xf numFmtId="0" fontId="0" fillId="0" borderId="0" xfId="0" applyAlignment="1">
      <alignment horizontal="left"/>
    </xf>
    <xf numFmtId="0" fontId="72" fillId="0" borderId="0" xfId="0" applyFont="1" applyAlignment="1">
      <alignment/>
    </xf>
    <xf numFmtId="49" fontId="71" fillId="36" borderId="26" xfId="50" applyNumberFormat="1" applyFont="1" applyFill="1" applyBorder="1" applyAlignment="1">
      <alignment horizontal="center" vertical="center" wrapText="1"/>
      <protection/>
    </xf>
    <xf numFmtId="0" fontId="71" fillId="36" borderId="27" xfId="50" applyFont="1" applyFill="1" applyBorder="1" applyAlignment="1">
      <alignment horizontal="right" vertical="center" wrapText="1"/>
      <protection/>
    </xf>
    <xf numFmtId="49" fontId="10" fillId="37" borderId="26" xfId="50" applyNumberFormat="1" applyFont="1" applyFill="1" applyBorder="1" applyAlignment="1">
      <alignment horizontal="center" vertical="center"/>
      <protection/>
    </xf>
    <xf numFmtId="169" fontId="10" fillId="37" borderId="27" xfId="50" applyNumberFormat="1" applyFont="1" applyFill="1" applyBorder="1" applyAlignment="1">
      <alignment horizontal="right" vertical="center"/>
      <protection/>
    </xf>
    <xf numFmtId="49" fontId="10" fillId="37" borderId="28" xfId="50" applyNumberFormat="1" applyFont="1" applyFill="1" applyBorder="1" applyAlignment="1">
      <alignment horizontal="center" vertical="center"/>
      <protection/>
    </xf>
    <xf numFmtId="169" fontId="10" fillId="37" borderId="29" xfId="50" applyNumberFormat="1" applyFont="1" applyFill="1" applyBorder="1" applyAlignment="1">
      <alignment horizontal="right" vertical="center"/>
      <protection/>
    </xf>
    <xf numFmtId="49" fontId="10" fillId="37" borderId="0" xfId="50" applyNumberFormat="1" applyFont="1" applyFill="1" applyBorder="1" applyAlignment="1">
      <alignment horizontal="right" vertical="center"/>
      <protection/>
    </xf>
    <xf numFmtId="0" fontId="10" fillId="37" borderId="0" xfId="50" applyFont="1" applyFill="1" applyBorder="1" applyAlignment="1">
      <alignment horizontal="right" vertical="center"/>
      <protection/>
    </xf>
    <xf numFmtId="49" fontId="10" fillId="37" borderId="0" xfId="50" applyNumberFormat="1" applyFont="1" applyFill="1" applyBorder="1" applyAlignment="1">
      <alignment horizontal="center" vertical="center" wrapText="1"/>
      <protection/>
    </xf>
    <xf numFmtId="49" fontId="28" fillId="37" borderId="0" xfId="50" applyNumberFormat="1" applyFont="1" applyFill="1" applyBorder="1" applyAlignment="1">
      <alignment horizontal="center" vertical="center" wrapText="1"/>
      <protection/>
    </xf>
    <xf numFmtId="169" fontId="28" fillId="37" borderId="0" xfId="50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30" xfId="0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49" fontId="3" fillId="34" borderId="31" xfId="51" applyNumberFormat="1" applyFont="1" applyFill="1" applyBorder="1" applyAlignment="1">
      <alignment horizontal="center" vertical="center"/>
      <protection/>
    </xf>
    <xf numFmtId="0" fontId="3" fillId="34" borderId="31" xfId="51" applyFont="1" applyFill="1" applyBorder="1" applyAlignment="1">
      <alignment horizontal="center" vertical="center"/>
      <protection/>
    </xf>
    <xf numFmtId="0" fontId="4" fillId="34" borderId="32" xfId="51" applyFont="1" applyFill="1" applyBorder="1" applyAlignment="1">
      <alignment horizontal="center" vertical="center"/>
      <protection/>
    </xf>
    <xf numFmtId="0" fontId="4" fillId="34" borderId="33" xfId="51" applyFont="1" applyFill="1" applyBorder="1" applyAlignment="1">
      <alignment horizontal="center" vertical="center"/>
      <protection/>
    </xf>
    <xf numFmtId="0" fontId="4" fillId="34" borderId="34" xfId="51" applyFont="1" applyFill="1" applyBorder="1" applyAlignment="1">
      <alignment horizontal="center" vertical="center"/>
      <protection/>
    </xf>
    <xf numFmtId="49" fontId="21" fillId="38" borderId="35" xfId="50" applyNumberFormat="1" applyFont="1" applyFill="1" applyBorder="1" applyAlignment="1">
      <alignment horizontal="center" vertical="center"/>
      <protection/>
    </xf>
    <xf numFmtId="49" fontId="21" fillId="38" borderId="36" xfId="50" applyNumberFormat="1" applyFont="1" applyFill="1" applyBorder="1" applyAlignment="1">
      <alignment horizontal="center" vertical="center"/>
      <protection/>
    </xf>
    <xf numFmtId="0" fontId="22" fillId="37" borderId="36" xfId="50" applyFont="1" applyFill="1" applyBorder="1" applyAlignment="1">
      <alignment horizontal="left" vertical="center" wrapText="1"/>
      <protection/>
    </xf>
    <xf numFmtId="0" fontId="22" fillId="37" borderId="37" xfId="50" applyFont="1" applyFill="1" applyBorder="1" applyAlignment="1">
      <alignment horizontal="left" vertical="center" wrapText="1"/>
      <protection/>
    </xf>
    <xf numFmtId="168" fontId="23" fillId="0" borderId="38" xfId="48" applyNumberFormat="1" applyFont="1" applyFill="1" applyBorder="1" applyAlignment="1" applyProtection="1">
      <alignment horizontal="right" vertical="center" wrapText="1"/>
      <protection locked="0"/>
    </xf>
    <xf numFmtId="168" fontId="23" fillId="0" borderId="0" xfId="48" applyNumberFormat="1" applyFont="1" applyFill="1" applyBorder="1" applyAlignment="1" applyProtection="1">
      <alignment horizontal="right" vertical="center" wrapText="1"/>
      <protection locked="0"/>
    </xf>
    <xf numFmtId="168" fontId="23" fillId="0" borderId="39" xfId="48" applyNumberFormat="1" applyFont="1" applyFill="1" applyBorder="1" applyAlignment="1" applyProtection="1">
      <alignment horizontal="right" vertical="center" wrapText="1"/>
      <protection locked="0"/>
    </xf>
    <xf numFmtId="172" fontId="10" fillId="37" borderId="24" xfId="50" applyNumberFormat="1" applyFont="1" applyFill="1" applyBorder="1" applyAlignment="1">
      <alignment horizontal="right" vertical="center"/>
      <protection/>
    </xf>
    <xf numFmtId="170" fontId="10" fillId="37" borderId="24" xfId="50" applyNumberFormat="1" applyFont="1" applyFill="1" applyBorder="1" applyAlignment="1">
      <alignment horizontal="right" vertical="center"/>
      <protection/>
    </xf>
    <xf numFmtId="172" fontId="10" fillId="37" borderId="25" xfId="50" applyNumberFormat="1" applyFont="1" applyFill="1" applyBorder="1" applyAlignment="1">
      <alignment horizontal="right" vertical="center"/>
      <protection/>
    </xf>
    <xf numFmtId="175" fontId="10" fillId="37" borderId="24" xfId="50" applyNumberFormat="1" applyFont="1" applyFill="1" applyBorder="1" applyAlignment="1">
      <alignment horizontal="right" vertical="center"/>
      <protection/>
    </xf>
    <xf numFmtId="175" fontId="10" fillId="37" borderId="25" xfId="50" applyNumberFormat="1" applyFont="1" applyFill="1" applyBorder="1" applyAlignment="1">
      <alignment horizontal="right" vertical="center"/>
      <protection/>
    </xf>
    <xf numFmtId="0" fontId="25" fillId="37" borderId="24" xfId="50" applyFont="1" applyFill="1" applyBorder="1" applyAlignment="1">
      <alignment horizontal="center" vertical="center"/>
      <protection/>
    </xf>
    <xf numFmtId="0" fontId="25" fillId="37" borderId="25" xfId="50" applyFont="1" applyFill="1" applyBorder="1" applyAlignment="1">
      <alignment horizontal="center" vertical="center"/>
      <protection/>
    </xf>
    <xf numFmtId="0" fontId="25" fillId="37" borderId="0" xfId="50" applyFont="1" applyFill="1" applyBorder="1" applyAlignment="1">
      <alignment horizontal="center" vertical="center"/>
      <protection/>
    </xf>
    <xf numFmtId="169" fontId="3" fillId="34" borderId="40" xfId="0" applyNumberFormat="1" applyFont="1" applyFill="1" applyBorder="1" applyAlignment="1" applyProtection="1">
      <alignment horizontal="center" vertical="center"/>
      <protection locked="0"/>
    </xf>
    <xf numFmtId="169" fontId="4" fillId="0" borderId="22" xfId="0" applyNumberFormat="1" applyFont="1" applyBorder="1" applyAlignment="1" applyProtection="1">
      <alignment horizontal="center" vertical="center"/>
      <protection locked="0"/>
    </xf>
    <xf numFmtId="169" fontId="69" fillId="0" borderId="0" xfId="53" applyNumberFormat="1" applyFont="1" applyFill="1" applyBorder="1" applyAlignment="1">
      <alignment horizontal="center" vertical="center"/>
      <protection locked="0"/>
    </xf>
    <xf numFmtId="169" fontId="4" fillId="0" borderId="0" xfId="53" applyNumberFormat="1" applyFont="1" applyFill="1" applyBorder="1" applyAlignment="1">
      <alignment horizontal="center" vertical="center"/>
      <protection locked="0"/>
    </xf>
    <xf numFmtId="169" fontId="4" fillId="0" borderId="10" xfId="53" applyNumberFormat="1" applyFont="1" applyFill="1" applyBorder="1" applyAlignment="1">
      <alignment horizontal="center" vertical="center"/>
      <protection locked="0"/>
    </xf>
    <xf numFmtId="169" fontId="3" fillId="0" borderId="0" xfId="0" applyNumberFormat="1" applyFont="1" applyAlignment="1" applyProtection="1">
      <alignment horizontal="center" vertical="center"/>
      <protection locked="0"/>
    </xf>
    <xf numFmtId="169" fontId="3" fillId="0" borderId="10" xfId="53" applyNumberFormat="1" applyFont="1" applyFill="1" applyBorder="1" applyAlignment="1">
      <alignment horizontal="center" vertical="center"/>
      <protection locked="0"/>
    </xf>
    <xf numFmtId="169" fontId="69" fillId="0" borderId="0" xfId="0" applyNumberFormat="1" applyFont="1" applyAlignment="1" applyProtection="1">
      <alignment horizontal="center" vertical="center"/>
      <protection locked="0"/>
    </xf>
    <xf numFmtId="169" fontId="4" fillId="34" borderId="20" xfId="0" applyNumberFormat="1" applyFont="1" applyFill="1" applyBorder="1" applyAlignment="1">
      <alignment horizontal="center" vertical="center"/>
    </xf>
    <xf numFmtId="169" fontId="69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center" vertical="center"/>
    </xf>
    <xf numFmtId="169" fontId="4" fillId="33" borderId="0" xfId="46" applyNumberFormat="1" applyFont="1" applyFill="1" applyBorder="1" applyAlignment="1" applyProtection="1">
      <alignment vertical="center"/>
      <protection/>
    </xf>
    <xf numFmtId="169" fontId="4" fillId="0" borderId="0" xfId="0" applyNumberFormat="1" applyFont="1" applyAlignment="1">
      <alignment/>
    </xf>
    <xf numFmtId="169" fontId="4" fillId="0" borderId="0" xfId="0" applyNumberFormat="1" applyFont="1" applyAlignment="1" applyProtection="1">
      <alignment vertical="top"/>
      <protection locked="0"/>
    </xf>
    <xf numFmtId="169" fontId="69" fillId="0" borderId="0" xfId="0" applyNumberFormat="1" applyFont="1" applyAlignment="1" applyProtection="1">
      <alignment vertical="top"/>
      <protection locked="0"/>
    </xf>
    <xf numFmtId="169" fontId="1" fillId="0" borderId="0" xfId="0" applyNumberFormat="1" applyFont="1" applyAlignment="1" applyProtection="1">
      <alignment vertical="top"/>
      <protection locked="0"/>
    </xf>
    <xf numFmtId="169" fontId="3" fillId="0" borderId="0" xfId="0" applyNumberFormat="1" applyFont="1" applyAlignment="1">
      <alignment/>
    </xf>
    <xf numFmtId="0" fontId="4" fillId="33" borderId="41" xfId="51" applyFont="1" applyFill="1" applyBorder="1" applyAlignment="1">
      <alignment vertical="center"/>
      <protection/>
    </xf>
    <xf numFmtId="0" fontId="16" fillId="35" borderId="42" xfId="51" applyFont="1" applyFill="1" applyBorder="1" applyAlignment="1">
      <alignment vertical="center"/>
      <protection/>
    </xf>
    <xf numFmtId="0" fontId="16" fillId="33" borderId="42" xfId="51" applyFont="1" applyFill="1" applyBorder="1" applyAlignment="1">
      <alignment vertical="center"/>
      <protection/>
    </xf>
    <xf numFmtId="0" fontId="17" fillId="0" borderId="42" xfId="51" applyFont="1" applyFill="1" applyBorder="1" applyAlignment="1">
      <alignment vertical="center"/>
      <protection/>
    </xf>
    <xf numFmtId="0" fontId="17" fillId="33" borderId="43" xfId="51" applyFont="1" applyFill="1" applyBorder="1" applyAlignment="1">
      <alignment vertical="center"/>
      <protection/>
    </xf>
    <xf numFmtId="49" fontId="3" fillId="34" borderId="44" xfId="51" applyNumberFormat="1" applyFont="1" applyFill="1" applyBorder="1" applyAlignment="1">
      <alignment horizontal="center" vertical="center"/>
      <protection/>
    </xf>
    <xf numFmtId="49" fontId="3" fillId="33" borderId="45" xfId="51" applyNumberFormat="1" applyFont="1" applyFill="1" applyBorder="1" applyAlignment="1">
      <alignment horizontal="center" vertical="center"/>
      <protection/>
    </xf>
    <xf numFmtId="0" fontId="4" fillId="33" borderId="46" xfId="51" applyFont="1" applyFill="1" applyBorder="1" applyAlignment="1">
      <alignment vertical="center"/>
      <protection/>
    </xf>
    <xf numFmtId="49" fontId="3" fillId="33" borderId="47" xfId="51" applyNumberFormat="1" applyFont="1" applyFill="1" applyBorder="1" applyAlignment="1">
      <alignment horizontal="center" vertical="center"/>
      <protection/>
    </xf>
    <xf numFmtId="0" fontId="3" fillId="33" borderId="48" xfId="51" applyFont="1" applyFill="1" applyBorder="1" applyAlignment="1">
      <alignment horizontal="left" vertical="center" wrapText="1"/>
      <protection/>
    </xf>
    <xf numFmtId="0" fontId="3" fillId="33" borderId="48" xfId="51" applyFont="1" applyFill="1" applyBorder="1" applyAlignment="1">
      <alignment vertical="center" wrapText="1"/>
      <protection/>
    </xf>
    <xf numFmtId="49" fontId="3" fillId="0" borderId="47" xfId="51" applyNumberFormat="1" applyFont="1" applyFill="1" applyBorder="1" applyAlignment="1">
      <alignment horizontal="center" vertical="center"/>
      <protection/>
    </xf>
    <xf numFmtId="0" fontId="3" fillId="0" borderId="48" xfId="51" applyFont="1" applyFill="1" applyBorder="1" applyAlignment="1">
      <alignment vertical="center" wrapText="1"/>
      <protection/>
    </xf>
    <xf numFmtId="49" fontId="3" fillId="33" borderId="49" xfId="51" applyNumberFormat="1" applyFont="1" applyFill="1" applyBorder="1" applyAlignment="1">
      <alignment horizontal="center" vertical="center"/>
      <protection/>
    </xf>
    <xf numFmtId="0" fontId="4" fillId="33" borderId="50" xfId="51" applyFont="1" applyFill="1" applyBorder="1" applyAlignment="1">
      <alignment vertical="center"/>
      <protection/>
    </xf>
    <xf numFmtId="0" fontId="17" fillId="35" borderId="15" xfId="51" applyFont="1" applyFill="1" applyBorder="1" applyAlignment="1" quotePrefix="1">
      <alignment vertical="center"/>
      <protection/>
    </xf>
    <xf numFmtId="169" fontId="4" fillId="0" borderId="0" xfId="0" applyNumberFormat="1" applyFont="1" applyAlignment="1" applyProtection="1">
      <alignment horizontal="center" vertical="top"/>
      <protection locked="0"/>
    </xf>
    <xf numFmtId="169" fontId="1" fillId="0" borderId="0" xfId="0" applyNumberFormat="1" applyFont="1" applyAlignment="1" applyProtection="1">
      <alignment horizontal="center" vertical="top"/>
      <protection locked="0"/>
    </xf>
    <xf numFmtId="169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rmal 5" xfId="49"/>
    <cellStyle name="Normal 5 2" xfId="50"/>
    <cellStyle name="Normal_Planilha - Rede Coletrora 44 Casas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428625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457200</xdr:colOff>
      <xdr:row>0</xdr:row>
      <xdr:rowOff>38100</xdr:rowOff>
    </xdr:from>
    <xdr:to>
      <xdr:col>2</xdr:col>
      <xdr:colOff>2771775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38100"/>
          <a:ext cx="31908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C47" sqref="C47"/>
    </sheetView>
  </sheetViews>
  <sheetFormatPr defaultColWidth="9.140625" defaultRowHeight="12.75"/>
  <cols>
    <col min="1" max="1" width="4.7109375" style="1" customWidth="1"/>
    <col min="2" max="2" width="13.140625" style="2" customWidth="1"/>
    <col min="3" max="3" width="41.57421875" style="3" customWidth="1"/>
    <col min="4" max="4" width="7.8515625" style="2" customWidth="1"/>
    <col min="5" max="5" width="6.57421875" style="1" customWidth="1"/>
    <col min="6" max="6" width="9.421875" style="2" bestFit="1" customWidth="1"/>
    <col min="7" max="7" width="11.140625" style="1" bestFit="1" customWidth="1"/>
    <col min="8" max="8" width="1.7109375" style="4" customWidth="1"/>
    <col min="9" max="9" width="44.421875" style="5" customWidth="1"/>
    <col min="10" max="10" width="2.57421875" style="6" customWidth="1"/>
    <col min="11" max="11" width="13.140625" style="183" customWidth="1"/>
    <col min="12" max="12" width="3.00390625" style="6" customWidth="1"/>
    <col min="13" max="13" width="10.28125" style="72" bestFit="1" customWidth="1"/>
    <col min="14" max="14" width="12.00390625" style="6" bestFit="1" customWidth="1"/>
    <col min="15" max="15" width="10.28125" style="6" bestFit="1" customWidth="1"/>
    <col min="16" max="16384" width="9.140625" style="6" customWidth="1"/>
  </cols>
  <sheetData>
    <row r="1" spans="1:13" s="14" customFormat="1" ht="10.5" customHeight="1">
      <c r="A1" s="7"/>
      <c r="B1" s="8"/>
      <c r="C1" s="9"/>
      <c r="D1" s="10"/>
      <c r="E1" s="11"/>
      <c r="F1" s="11"/>
      <c r="G1" s="11"/>
      <c r="H1" s="12"/>
      <c r="I1" s="13"/>
      <c r="K1" s="179"/>
      <c r="M1" s="10"/>
    </row>
    <row r="2" spans="1:13" s="14" customFormat="1" ht="10.5" customHeight="1">
      <c r="A2" s="7"/>
      <c r="B2" s="8"/>
      <c r="C2" s="9"/>
      <c r="D2" s="10"/>
      <c r="F2" s="10"/>
      <c r="H2" s="12"/>
      <c r="I2" s="13"/>
      <c r="K2" s="179"/>
      <c r="M2" s="10"/>
    </row>
    <row r="3" spans="1:13" s="14" customFormat="1" ht="10.5" customHeight="1">
      <c r="A3" s="7"/>
      <c r="B3" s="8"/>
      <c r="C3" s="9"/>
      <c r="D3" s="10"/>
      <c r="E3" s="11"/>
      <c r="F3" s="11"/>
      <c r="G3" s="11"/>
      <c r="H3" s="12"/>
      <c r="I3" s="13"/>
      <c r="K3" s="179"/>
      <c r="M3" s="10"/>
    </row>
    <row r="4" spans="1:13" s="14" customFormat="1" ht="10.5" customHeight="1">
      <c r="A4" s="7"/>
      <c r="B4" s="8"/>
      <c r="C4" s="9"/>
      <c r="D4" s="10"/>
      <c r="E4" s="11"/>
      <c r="F4" s="11"/>
      <c r="G4" s="11"/>
      <c r="H4" s="12"/>
      <c r="I4" s="13"/>
      <c r="K4" s="179"/>
      <c r="M4" s="10"/>
    </row>
    <row r="5" spans="2:13" s="15" customFormat="1" ht="15" customHeight="1">
      <c r="B5" s="16"/>
      <c r="C5" s="17"/>
      <c r="D5" s="16"/>
      <c r="F5" s="16"/>
      <c r="H5" s="12"/>
      <c r="I5" s="18"/>
      <c r="K5" s="180"/>
      <c r="M5" s="16"/>
    </row>
    <row r="6" spans="1:11" s="15" customFormat="1" ht="15" customHeight="1">
      <c r="A6" s="145" t="s">
        <v>185</v>
      </c>
      <c r="B6" s="145"/>
      <c r="C6" s="145"/>
      <c r="D6" s="145"/>
      <c r="E6" s="145"/>
      <c r="F6" s="145"/>
      <c r="G6" s="145"/>
      <c r="H6" s="12"/>
      <c r="I6" s="18"/>
      <c r="K6" s="180"/>
    </row>
    <row r="7" spans="1:13" s="15" customFormat="1" ht="8.25" customHeight="1">
      <c r="A7" s="145"/>
      <c r="B7" s="145"/>
      <c r="C7" s="145"/>
      <c r="D7" s="145"/>
      <c r="E7" s="145"/>
      <c r="F7" s="145"/>
      <c r="G7" s="145"/>
      <c r="H7" s="12"/>
      <c r="I7" s="18"/>
      <c r="K7" s="180"/>
      <c r="M7" s="16"/>
    </row>
    <row r="8" spans="1:13" s="15" customFormat="1" ht="15" customHeight="1">
      <c r="A8" s="19"/>
      <c r="B8" s="19"/>
      <c r="C8" s="20"/>
      <c r="D8" s="19"/>
      <c r="E8" s="65"/>
      <c r="F8" s="65"/>
      <c r="G8" s="65"/>
      <c r="H8" s="12"/>
      <c r="I8" s="18"/>
      <c r="K8" s="180"/>
      <c r="M8" s="16"/>
    </row>
    <row r="9" spans="2:13" s="15" customFormat="1" ht="15" customHeight="1">
      <c r="B9" s="16"/>
      <c r="C9" s="146" t="s">
        <v>40</v>
      </c>
      <c r="D9" s="146"/>
      <c r="E9" s="146"/>
      <c r="F9" s="146"/>
      <c r="G9" s="146"/>
      <c r="H9" s="12"/>
      <c r="I9" s="18"/>
      <c r="K9" s="180"/>
      <c r="M9" s="16"/>
    </row>
    <row r="10" spans="1:15" s="22" customFormat="1" ht="19.5" customHeight="1" thickBot="1">
      <c r="A10" s="101" t="s">
        <v>0</v>
      </c>
      <c r="B10" s="101" t="s">
        <v>1</v>
      </c>
      <c r="C10" s="102" t="s">
        <v>2</v>
      </c>
      <c r="D10" s="101" t="s">
        <v>3</v>
      </c>
      <c r="E10" s="101" t="s">
        <v>4</v>
      </c>
      <c r="F10" s="101" t="s">
        <v>5</v>
      </c>
      <c r="G10" s="101" t="s">
        <v>6</v>
      </c>
      <c r="H10" s="12"/>
      <c r="I10" s="21"/>
      <c r="K10" s="181"/>
      <c r="M10" s="147" t="s">
        <v>58</v>
      </c>
      <c r="N10" s="147"/>
      <c r="O10" s="147"/>
    </row>
    <row r="11" spans="1:15" s="22" customFormat="1" ht="30" customHeight="1" thickBot="1">
      <c r="A11" s="87" t="s">
        <v>7</v>
      </c>
      <c r="B11" s="88"/>
      <c r="C11" s="89" t="s">
        <v>8</v>
      </c>
      <c r="D11" s="90"/>
      <c r="E11" s="90"/>
      <c r="F11" s="90"/>
      <c r="G11" s="168">
        <f>ROUND(SUM(G12:G20),2)</f>
        <v>7944.35</v>
      </c>
      <c r="H11" s="12"/>
      <c r="I11" s="21"/>
      <c r="J11" s="23"/>
      <c r="K11" s="181"/>
      <c r="M11" s="30" t="s">
        <v>36</v>
      </c>
      <c r="N11" s="30" t="s">
        <v>55</v>
      </c>
      <c r="O11" s="30" t="s">
        <v>56</v>
      </c>
    </row>
    <row r="12" spans="1:15" s="22" customFormat="1" ht="60" customHeight="1">
      <c r="A12" s="103" t="s">
        <v>9</v>
      </c>
      <c r="B12" s="104" t="s">
        <v>10</v>
      </c>
      <c r="C12" s="96" t="s">
        <v>11</v>
      </c>
      <c r="D12" s="105" t="s">
        <v>12</v>
      </c>
      <c r="E12" s="105">
        <f>ROUND(2*1,2)</f>
        <v>2</v>
      </c>
      <c r="F12" s="169">
        <v>92.26</v>
      </c>
      <c r="G12" s="169">
        <f>E12*F12</f>
        <v>184.52</v>
      </c>
      <c r="H12" s="12"/>
      <c r="I12" s="24" t="s">
        <v>13</v>
      </c>
      <c r="K12" s="181">
        <v>184.52</v>
      </c>
      <c r="M12" s="201">
        <f>G12/3</f>
        <v>61.50666666666667</v>
      </c>
      <c r="N12" s="201">
        <f>$G12/3</f>
        <v>61.50666666666667</v>
      </c>
      <c r="O12" s="201">
        <f>$G12/3</f>
        <v>61.50666666666667</v>
      </c>
    </row>
    <row r="13" spans="1:15" s="22" customFormat="1" ht="61.5" customHeight="1">
      <c r="A13" s="97" t="s">
        <v>14</v>
      </c>
      <c r="B13" s="98" t="s">
        <v>59</v>
      </c>
      <c r="C13" s="93" t="s">
        <v>92</v>
      </c>
      <c r="D13" s="105" t="s">
        <v>60</v>
      </c>
      <c r="E13" s="105">
        <f>ROUND(2*8*2,2)</f>
        <v>32</v>
      </c>
      <c r="F13" s="169">
        <v>8</v>
      </c>
      <c r="G13" s="169">
        <f>E13*F13</f>
        <v>256</v>
      </c>
      <c r="H13" s="12"/>
      <c r="I13" s="21" t="s">
        <v>107</v>
      </c>
      <c r="K13" s="181">
        <v>256</v>
      </c>
      <c r="M13" s="201">
        <f>$G13/3</f>
        <v>85.33333333333333</v>
      </c>
      <c r="N13" s="201">
        <f>$G13/3</f>
        <v>85.33333333333333</v>
      </c>
      <c r="O13" s="201">
        <f>$G13/3</f>
        <v>85.33333333333333</v>
      </c>
    </row>
    <row r="14" spans="1:15" s="22" customFormat="1" ht="22.5" customHeight="1">
      <c r="A14" s="97" t="s">
        <v>15</v>
      </c>
      <c r="B14" s="98" t="s">
        <v>61</v>
      </c>
      <c r="C14" s="93" t="s">
        <v>93</v>
      </c>
      <c r="D14" s="105" t="s">
        <v>42</v>
      </c>
      <c r="E14" s="105">
        <f>ROUND(2*2,2)</f>
        <v>4</v>
      </c>
      <c r="F14" s="169">
        <v>62.4</v>
      </c>
      <c r="G14" s="169">
        <f>E14*F14</f>
        <v>249.6</v>
      </c>
      <c r="H14" s="12"/>
      <c r="I14" s="21" t="s">
        <v>106</v>
      </c>
      <c r="K14" s="181">
        <v>249.6</v>
      </c>
      <c r="M14" s="201">
        <f>$G14/3</f>
        <v>83.2</v>
      </c>
      <c r="N14" s="201">
        <f>$G14/3</f>
        <v>83.2</v>
      </c>
      <c r="O14" s="201">
        <f>$G14/3</f>
        <v>83.2</v>
      </c>
    </row>
    <row r="15" spans="1:15" s="22" customFormat="1" ht="36">
      <c r="A15" s="103" t="s">
        <v>16</v>
      </c>
      <c r="B15" s="98" t="s">
        <v>62</v>
      </c>
      <c r="C15" s="93" t="s">
        <v>63</v>
      </c>
      <c r="D15" s="105" t="s">
        <v>12</v>
      </c>
      <c r="E15" s="105">
        <f>ROUND(2*2*8,2)</f>
        <v>32</v>
      </c>
      <c r="F15" s="169">
        <v>5.38</v>
      </c>
      <c r="G15" s="169">
        <f aca="true" t="shared" si="0" ref="G15:G20">E15*F15</f>
        <v>172.16</v>
      </c>
      <c r="H15" s="12"/>
      <c r="I15" s="86" t="s">
        <v>109</v>
      </c>
      <c r="K15" s="181">
        <v>172.16</v>
      </c>
      <c r="M15" s="70">
        <f>$G15/2</f>
        <v>86.08</v>
      </c>
      <c r="O15" s="70">
        <f>$G15/2</f>
        <v>86.08</v>
      </c>
    </row>
    <row r="16" spans="1:15" s="22" customFormat="1" ht="60.75" customHeight="1">
      <c r="A16" s="97" t="s">
        <v>17</v>
      </c>
      <c r="B16" s="98" t="s">
        <v>64</v>
      </c>
      <c r="C16" s="93" t="s">
        <v>105</v>
      </c>
      <c r="D16" s="105" t="s">
        <v>65</v>
      </c>
      <c r="E16" s="105">
        <f>ROUND(2*2*8*75,2)</f>
        <v>2400</v>
      </c>
      <c r="F16" s="169">
        <v>0.11</v>
      </c>
      <c r="G16" s="169">
        <f t="shared" si="0"/>
        <v>264</v>
      </c>
      <c r="H16" s="12"/>
      <c r="I16" s="21" t="s">
        <v>108</v>
      </c>
      <c r="K16" s="181">
        <v>264</v>
      </c>
      <c r="M16" s="70">
        <f>$G16/3</f>
        <v>88</v>
      </c>
      <c r="N16" s="70">
        <f>$G16/3</f>
        <v>88</v>
      </c>
      <c r="O16" s="70">
        <f>$G16/3</f>
        <v>88</v>
      </c>
    </row>
    <row r="17" spans="1:15" s="22" customFormat="1" ht="45" customHeight="1">
      <c r="A17" s="97" t="s">
        <v>44</v>
      </c>
      <c r="B17" s="98" t="s">
        <v>66</v>
      </c>
      <c r="C17" s="93" t="s">
        <v>67</v>
      </c>
      <c r="D17" s="105" t="s">
        <v>12</v>
      </c>
      <c r="E17" s="105">
        <f>ROUND(2*8*2,2)</f>
        <v>32</v>
      </c>
      <c r="F17" s="169">
        <v>0.63</v>
      </c>
      <c r="G17" s="169">
        <f t="shared" si="0"/>
        <v>20.16</v>
      </c>
      <c r="H17" s="12"/>
      <c r="I17" s="86" t="s">
        <v>109</v>
      </c>
      <c r="K17" s="181">
        <v>20.16</v>
      </c>
      <c r="M17" s="70">
        <f>$G17/2</f>
        <v>10.08</v>
      </c>
      <c r="O17" s="70">
        <f>$G17/2</f>
        <v>10.08</v>
      </c>
    </row>
    <row r="18" spans="1:15" s="22" customFormat="1" ht="60">
      <c r="A18" s="103" t="s">
        <v>45</v>
      </c>
      <c r="B18" s="98" t="s">
        <v>68</v>
      </c>
      <c r="C18" s="93" t="s">
        <v>69</v>
      </c>
      <c r="D18" s="105" t="s">
        <v>70</v>
      </c>
      <c r="E18" s="105">
        <f>ROUND(2*2*1,2)</f>
        <v>4</v>
      </c>
      <c r="F18" s="169">
        <v>21.78</v>
      </c>
      <c r="G18" s="169">
        <f t="shared" si="0"/>
        <v>87.12</v>
      </c>
      <c r="H18" s="12"/>
      <c r="I18" s="21" t="s">
        <v>110</v>
      </c>
      <c r="K18" s="181">
        <v>87.12</v>
      </c>
      <c r="M18" s="70">
        <f>$G18/3</f>
        <v>29.040000000000003</v>
      </c>
      <c r="N18" s="70">
        <f>$G18/3</f>
        <v>29.040000000000003</v>
      </c>
      <c r="O18" s="70">
        <f>$G18/3</f>
        <v>29.040000000000003</v>
      </c>
    </row>
    <row r="19" spans="1:15" s="22" customFormat="1" ht="27" customHeight="1">
      <c r="A19" s="97" t="s">
        <v>46</v>
      </c>
      <c r="B19" s="98" t="s">
        <v>71</v>
      </c>
      <c r="C19" s="93" t="s">
        <v>72</v>
      </c>
      <c r="D19" s="105" t="s">
        <v>19</v>
      </c>
      <c r="E19" s="105">
        <f>ROUND(39.2*17+24*8,2)</f>
        <v>858.4</v>
      </c>
      <c r="F19" s="169">
        <v>0.13</v>
      </c>
      <c r="G19" s="169">
        <f t="shared" si="0"/>
        <v>111.592</v>
      </c>
      <c r="H19" s="12"/>
      <c r="I19" s="21" t="s">
        <v>111</v>
      </c>
      <c r="K19" s="181">
        <v>111.59</v>
      </c>
      <c r="M19" s="70">
        <f>$G19/3</f>
        <v>37.19733333333333</v>
      </c>
      <c r="N19" s="70">
        <f>$G19/3</f>
        <v>37.19733333333333</v>
      </c>
      <c r="O19" s="70">
        <f>$G19/3</f>
        <v>37.19733333333333</v>
      </c>
    </row>
    <row r="20" spans="1:14" s="22" customFormat="1" ht="64.5" customHeight="1">
      <c r="A20" s="97" t="s">
        <v>47</v>
      </c>
      <c r="B20" s="98" t="s">
        <v>73</v>
      </c>
      <c r="C20" s="93" t="s">
        <v>74</v>
      </c>
      <c r="D20" s="105" t="s">
        <v>43</v>
      </c>
      <c r="E20" s="105">
        <f>ROUND(20*4,2)</f>
        <v>80</v>
      </c>
      <c r="F20" s="169">
        <v>82.49</v>
      </c>
      <c r="G20" s="169">
        <f t="shared" si="0"/>
        <v>6599.2</v>
      </c>
      <c r="H20" s="12"/>
      <c r="I20" s="21" t="s">
        <v>184</v>
      </c>
      <c r="K20" s="181">
        <v>6599.2</v>
      </c>
      <c r="M20" s="70">
        <f>$G20/2</f>
        <v>3299.6</v>
      </c>
      <c r="N20" s="70">
        <f>$G20/2</f>
        <v>3299.6</v>
      </c>
    </row>
    <row r="21" spans="1:13" s="78" customFormat="1" ht="9.75" customHeight="1" thickBot="1">
      <c r="A21" s="74"/>
      <c r="B21" s="75"/>
      <c r="C21" s="61"/>
      <c r="D21" s="75"/>
      <c r="E21" s="82"/>
      <c r="F21" s="175"/>
      <c r="G21" s="170"/>
      <c r="H21" s="76"/>
      <c r="I21" s="77"/>
      <c r="K21" s="182"/>
      <c r="M21" s="81"/>
    </row>
    <row r="22" spans="1:13" s="22" customFormat="1" ht="30" customHeight="1" thickBot="1">
      <c r="A22" s="87" t="s">
        <v>20</v>
      </c>
      <c r="B22" s="88"/>
      <c r="C22" s="89" t="s">
        <v>50</v>
      </c>
      <c r="D22" s="90"/>
      <c r="E22" s="90"/>
      <c r="F22" s="176"/>
      <c r="G22" s="168">
        <f>ROUND(SUM(G23:G31),2)</f>
        <v>31578.49</v>
      </c>
      <c r="H22" s="12"/>
      <c r="I22" s="21"/>
      <c r="K22" s="181"/>
      <c r="M22" s="11"/>
    </row>
    <row r="23" spans="1:13" ht="128.25" customHeight="1">
      <c r="A23" s="94" t="s">
        <v>21</v>
      </c>
      <c r="B23" s="100" t="s">
        <v>75</v>
      </c>
      <c r="C23" s="96" t="s">
        <v>76</v>
      </c>
      <c r="D23" s="105" t="s">
        <v>12</v>
      </c>
      <c r="E23" s="105">
        <f>ROUND(27.7*1.83+6.14*1.83-6.6*1.83+39.2*1.5+11.53*1.5+16.17*1.5+11.53*1.5+5.39*1.5+6.14*1.5+5.39*1.5+6.14*1.5+6.14*1.5+6.14*1.5-1.1*1.575+6.14*1.5+6.14*1.5+6.14*1.5+6.14*1.5+6.14*1.5+6.14*1.5+6.14*1.5+11.53*1.5+11.53*1.5,2)</f>
        <v>317.83</v>
      </c>
      <c r="F23" s="169">
        <v>6.41</v>
      </c>
      <c r="G23" s="169">
        <f aca="true" t="shared" si="1" ref="G23:G31">ROUND(E23*F23,2)</f>
        <v>2037.29</v>
      </c>
      <c r="I23" s="21" t="s">
        <v>113</v>
      </c>
      <c r="K23" s="183">
        <v>2037.29</v>
      </c>
      <c r="M23" s="71">
        <f>G23</f>
        <v>2037.29</v>
      </c>
    </row>
    <row r="24" spans="1:13" ht="102.75" customHeight="1">
      <c r="A24" s="91" t="s">
        <v>22</v>
      </c>
      <c r="B24" s="99" t="s">
        <v>77</v>
      </c>
      <c r="C24" s="93" t="s">
        <v>78</v>
      </c>
      <c r="D24" s="105" t="s">
        <v>79</v>
      </c>
      <c r="E24" s="105">
        <f>ROUND((27.7+28.45+22.31+11.53+11.53+6.14+6.14+6.14+12.28+6.14+6.14+6.14+6.14+5.39+6.14)*15.6,2)</f>
        <v>2625.64</v>
      </c>
      <c r="F24" s="169">
        <v>1.77</v>
      </c>
      <c r="G24" s="169">
        <f t="shared" si="1"/>
        <v>4647.38</v>
      </c>
      <c r="I24" s="5" t="s">
        <v>188</v>
      </c>
      <c r="K24" s="183">
        <v>4647.38</v>
      </c>
      <c r="M24" s="71">
        <f>G24</f>
        <v>4647.38</v>
      </c>
    </row>
    <row r="25" spans="1:15" ht="50.25" customHeight="1">
      <c r="A25" s="91" t="s">
        <v>51</v>
      </c>
      <c r="B25" s="99" t="s">
        <v>177</v>
      </c>
      <c r="C25" s="93" t="s">
        <v>178</v>
      </c>
      <c r="D25" s="105" t="s">
        <v>79</v>
      </c>
      <c r="E25" s="105">
        <f>E24</f>
        <v>2625.64</v>
      </c>
      <c r="F25" s="169">
        <v>5.76</v>
      </c>
      <c r="G25" s="169">
        <f t="shared" si="1"/>
        <v>15123.69</v>
      </c>
      <c r="I25" s="21" t="s">
        <v>114</v>
      </c>
      <c r="K25" s="183">
        <v>15123.69</v>
      </c>
      <c r="N25" s="202">
        <f>G25</f>
        <v>15123.69</v>
      </c>
      <c r="O25" s="72"/>
    </row>
    <row r="26" spans="1:14" ht="25.5" customHeight="1">
      <c r="A26" s="94" t="s">
        <v>52</v>
      </c>
      <c r="B26" s="99" t="s">
        <v>80</v>
      </c>
      <c r="C26" s="93" t="s">
        <v>81</v>
      </c>
      <c r="D26" s="105" t="s">
        <v>43</v>
      </c>
      <c r="E26" s="105">
        <f>ROUND(40*2,2)</f>
        <v>80</v>
      </c>
      <c r="F26" s="169">
        <v>19.43</v>
      </c>
      <c r="G26" s="169">
        <f t="shared" si="1"/>
        <v>1554.4</v>
      </c>
      <c r="I26" s="21" t="s">
        <v>115</v>
      </c>
      <c r="K26" s="183">
        <v>1554.4</v>
      </c>
      <c r="N26" s="6">
        <f>E26</f>
        <v>80</v>
      </c>
    </row>
    <row r="27" spans="1:15" ht="23.25" customHeight="1">
      <c r="A27" s="91" t="s">
        <v>53</v>
      </c>
      <c r="B27" s="99" t="s">
        <v>82</v>
      </c>
      <c r="C27" s="93" t="s">
        <v>83</v>
      </c>
      <c r="D27" s="105" t="s">
        <v>43</v>
      </c>
      <c r="E27" s="105">
        <f>ROUND(40*2,2)</f>
        <v>80</v>
      </c>
      <c r="F27" s="169">
        <v>13.08</v>
      </c>
      <c r="G27" s="169">
        <f t="shared" si="1"/>
        <v>1046.4</v>
      </c>
      <c r="I27" s="21" t="s">
        <v>115</v>
      </c>
      <c r="K27" s="183">
        <v>1046.4</v>
      </c>
      <c r="N27" s="183">
        <f>F27</f>
        <v>13.08</v>
      </c>
      <c r="O27" s="69"/>
    </row>
    <row r="28" spans="1:15" ht="109.5" customHeight="1">
      <c r="A28" s="91" t="s">
        <v>95</v>
      </c>
      <c r="B28" s="99" t="s">
        <v>84</v>
      </c>
      <c r="C28" s="93" t="s">
        <v>85</v>
      </c>
      <c r="D28" s="105" t="s">
        <v>12</v>
      </c>
      <c r="E28" s="105">
        <f>ROUND(6.6*1.83+1.1*3.15,2)</f>
        <v>15.54</v>
      </c>
      <c r="F28" s="169">
        <v>45.99</v>
      </c>
      <c r="G28" s="169">
        <f t="shared" si="1"/>
        <v>714.68</v>
      </c>
      <c r="I28" s="21" t="s">
        <v>143</v>
      </c>
      <c r="K28" s="183">
        <v>714.68</v>
      </c>
      <c r="N28" s="183">
        <f>G28</f>
        <v>714.68</v>
      </c>
      <c r="O28" s="69"/>
    </row>
    <row r="29" spans="1:15" ht="96.75" customHeight="1">
      <c r="A29" s="94" t="s">
        <v>102</v>
      </c>
      <c r="B29" s="99" t="s">
        <v>112</v>
      </c>
      <c r="C29" s="93" t="s">
        <v>116</v>
      </c>
      <c r="D29" s="105" t="s">
        <v>12</v>
      </c>
      <c r="E29" s="105">
        <f>E23</f>
        <v>317.83</v>
      </c>
      <c r="F29" s="169">
        <v>11.59</v>
      </c>
      <c r="G29" s="169">
        <f t="shared" si="1"/>
        <v>3683.65</v>
      </c>
      <c r="I29" s="21" t="s">
        <v>142</v>
      </c>
      <c r="K29" s="183">
        <v>3683.65</v>
      </c>
      <c r="N29" s="183">
        <f>G29</f>
        <v>3683.65</v>
      </c>
      <c r="O29" s="69"/>
    </row>
    <row r="30" spans="1:15" ht="128.25" customHeight="1">
      <c r="A30" s="91" t="s">
        <v>103</v>
      </c>
      <c r="B30" s="99" t="s">
        <v>151</v>
      </c>
      <c r="C30" s="93" t="s">
        <v>100</v>
      </c>
      <c r="D30" s="105" t="s">
        <v>79</v>
      </c>
      <c r="E30" s="105">
        <f>ROUND((0.05*8*2.48*12+0.05*8*2.48*10+0.05*8*3.94*30)*3.48,2)</f>
        <v>240.48</v>
      </c>
      <c r="F30" s="169">
        <v>4.29</v>
      </c>
      <c r="G30" s="169">
        <f t="shared" si="1"/>
        <v>1031.66</v>
      </c>
      <c r="I30" s="21" t="s">
        <v>186</v>
      </c>
      <c r="K30" s="183">
        <v>1031.66</v>
      </c>
      <c r="M30" s="202">
        <f>$G30/2</f>
        <v>515.83</v>
      </c>
      <c r="N30" s="202">
        <f>$G30/2</f>
        <v>515.83</v>
      </c>
      <c r="O30" s="69"/>
    </row>
    <row r="31" spans="1:15" ht="129" customHeight="1">
      <c r="A31" s="91" t="s">
        <v>104</v>
      </c>
      <c r="B31" s="99" t="s">
        <v>152</v>
      </c>
      <c r="C31" s="93" t="s">
        <v>101</v>
      </c>
      <c r="D31" s="105" t="s">
        <v>79</v>
      </c>
      <c r="E31" s="105">
        <f>ROUND((0.05*8*1.92*12+0.05*8*1.92*10+0.05*8*3.2*30)*6.99,2)</f>
        <v>386.52</v>
      </c>
      <c r="F31" s="169">
        <v>4.5</v>
      </c>
      <c r="G31" s="169">
        <f t="shared" si="1"/>
        <v>1739.34</v>
      </c>
      <c r="I31" s="21" t="s">
        <v>187</v>
      </c>
      <c r="K31" s="183">
        <v>1739.34</v>
      </c>
      <c r="M31" s="202">
        <f>$G31/2</f>
        <v>869.67</v>
      </c>
      <c r="N31" s="202">
        <f>$G31/2</f>
        <v>869.67</v>
      </c>
      <c r="O31" s="69"/>
    </row>
    <row r="32" spans="1:13" s="78" customFormat="1" ht="9.75" customHeight="1" thickBot="1">
      <c r="A32" s="83"/>
      <c r="B32" s="84"/>
      <c r="C32" s="62"/>
      <c r="D32" s="80"/>
      <c r="E32" s="79"/>
      <c r="F32" s="177"/>
      <c r="G32" s="170"/>
      <c r="H32" s="76"/>
      <c r="I32" s="77"/>
      <c r="K32" s="182"/>
      <c r="M32" s="81"/>
    </row>
    <row r="33" spans="1:13" s="22" customFormat="1" ht="30" customHeight="1" thickBot="1">
      <c r="A33" s="87" t="s">
        <v>23</v>
      </c>
      <c r="B33" s="88"/>
      <c r="C33" s="89" t="s">
        <v>32</v>
      </c>
      <c r="D33" s="90"/>
      <c r="E33" s="90"/>
      <c r="F33" s="176"/>
      <c r="G33" s="168">
        <f>ROUND(SUM(G34:G37),2)</f>
        <v>9685.03</v>
      </c>
      <c r="H33" s="12"/>
      <c r="I33" s="21"/>
      <c r="K33" s="181"/>
      <c r="M33" s="11"/>
    </row>
    <row r="34" spans="1:15" s="22" customFormat="1" ht="64.5" customHeight="1">
      <c r="A34" s="94" t="s">
        <v>24</v>
      </c>
      <c r="B34" s="92" t="s">
        <v>175</v>
      </c>
      <c r="C34" s="96" t="s">
        <v>176</v>
      </c>
      <c r="D34" s="105" t="s">
        <v>12</v>
      </c>
      <c r="E34" s="105">
        <f>ROUND(12*2.8*1.9+23*3*1.9,2)</f>
        <v>194.94</v>
      </c>
      <c r="F34" s="169">
        <v>36.37</v>
      </c>
      <c r="G34" s="169">
        <f>E34*F34</f>
        <v>7089.967799999999</v>
      </c>
      <c r="H34" s="12"/>
      <c r="I34" s="21" t="s">
        <v>144</v>
      </c>
      <c r="K34" s="181">
        <v>7089.97</v>
      </c>
      <c r="M34" s="11"/>
      <c r="O34" s="201">
        <f>G34</f>
        <v>7089.967799999999</v>
      </c>
    </row>
    <row r="35" spans="1:15" s="22" customFormat="1" ht="59.25" customHeight="1">
      <c r="A35" s="94">
        <v>3.02</v>
      </c>
      <c r="B35" s="92" t="s">
        <v>179</v>
      </c>
      <c r="C35" s="96" t="s">
        <v>180</v>
      </c>
      <c r="D35" s="105" t="s">
        <v>18</v>
      </c>
      <c r="E35" s="105">
        <v>1</v>
      </c>
      <c r="F35" s="169">
        <v>2307.08</v>
      </c>
      <c r="G35" s="169">
        <f>E35*F35</f>
        <v>2307.08</v>
      </c>
      <c r="H35" s="12"/>
      <c r="I35" s="21" t="s">
        <v>181</v>
      </c>
      <c r="K35" s="181">
        <v>2307.08</v>
      </c>
      <c r="M35" s="11"/>
      <c r="O35" s="201">
        <f>G35</f>
        <v>2307.08</v>
      </c>
    </row>
    <row r="36" spans="1:15" s="22" customFormat="1" ht="27.75" customHeight="1">
      <c r="A36" s="94" t="s">
        <v>25</v>
      </c>
      <c r="B36" s="92" t="s">
        <v>145</v>
      </c>
      <c r="C36" s="93" t="s">
        <v>146</v>
      </c>
      <c r="D36" s="105" t="s">
        <v>43</v>
      </c>
      <c r="E36" s="105">
        <f>ROUND(8*1,2)</f>
        <v>8</v>
      </c>
      <c r="F36" s="169">
        <v>18.05</v>
      </c>
      <c r="G36" s="169">
        <f>E36*F36</f>
        <v>144.4</v>
      </c>
      <c r="H36" s="12"/>
      <c r="I36" s="21" t="s">
        <v>150</v>
      </c>
      <c r="K36" s="181">
        <v>144.4</v>
      </c>
      <c r="M36" s="11"/>
      <c r="O36" s="201">
        <f>G36</f>
        <v>144.4</v>
      </c>
    </row>
    <row r="37" spans="1:15" s="22" customFormat="1" ht="53.25" customHeight="1">
      <c r="A37" s="94" t="s">
        <v>182</v>
      </c>
      <c r="B37" s="92" t="s">
        <v>147</v>
      </c>
      <c r="C37" s="93" t="s">
        <v>148</v>
      </c>
      <c r="D37" s="105" t="s">
        <v>79</v>
      </c>
      <c r="E37" s="105">
        <v>6</v>
      </c>
      <c r="F37" s="169">
        <v>23.93</v>
      </c>
      <c r="G37" s="169">
        <f>E37*F37</f>
        <v>143.57999999999998</v>
      </c>
      <c r="H37" s="12"/>
      <c r="I37" s="21" t="s">
        <v>149</v>
      </c>
      <c r="K37" s="181">
        <v>143.58</v>
      </c>
      <c r="M37" s="11"/>
      <c r="O37" s="201">
        <f>G37</f>
        <v>143.57999999999998</v>
      </c>
    </row>
    <row r="38" spans="1:15" s="22" customFormat="1" ht="9.75" customHeight="1" thickBot="1">
      <c r="A38" s="26"/>
      <c r="B38" s="63"/>
      <c r="C38" s="60"/>
      <c r="D38" s="64"/>
      <c r="E38" s="59"/>
      <c r="F38" s="178"/>
      <c r="G38" s="171"/>
      <c r="H38" s="12"/>
      <c r="I38" s="21"/>
      <c r="K38" s="181"/>
      <c r="M38" s="11"/>
      <c r="O38" s="11"/>
    </row>
    <row r="39" spans="1:13" s="22" customFormat="1" ht="30" customHeight="1" thickBot="1">
      <c r="A39" s="87" t="s">
        <v>26</v>
      </c>
      <c r="B39" s="88"/>
      <c r="C39" s="89" t="s">
        <v>33</v>
      </c>
      <c r="D39" s="90"/>
      <c r="E39" s="90"/>
      <c r="F39" s="176"/>
      <c r="G39" s="168">
        <f>ROUND(SUM(G40:G44),2)</f>
        <v>59087.41</v>
      </c>
      <c r="H39" s="12"/>
      <c r="I39" s="21"/>
      <c r="K39" s="181"/>
      <c r="M39" s="11"/>
    </row>
    <row r="40" spans="1:15" s="22" customFormat="1" ht="118.5" customHeight="1">
      <c r="A40" s="94" t="s">
        <v>27</v>
      </c>
      <c r="B40" s="95" t="s">
        <v>86</v>
      </c>
      <c r="C40" s="96" t="s">
        <v>96</v>
      </c>
      <c r="D40" s="105" t="s">
        <v>12</v>
      </c>
      <c r="E40" s="105">
        <f>ROUND(2*0.5*39.2+3*0.5*39.2+2.61+2.44+2*39.2+0.3*0.1*8+1.4*0.1*6+0.8*0.5*6+0.85*0.1*2+0.4*0.5*2+87.2*0.2+2.28*0.74*8,2)</f>
        <v>216.44</v>
      </c>
      <c r="F40" s="169">
        <v>13.88</v>
      </c>
      <c r="G40" s="169">
        <f>E40*F40</f>
        <v>3004.1872000000003</v>
      </c>
      <c r="H40" s="12"/>
      <c r="I40" s="21" t="s">
        <v>153</v>
      </c>
      <c r="K40" s="181">
        <v>3004.19</v>
      </c>
      <c r="M40" s="11"/>
      <c r="O40" s="201">
        <f>G40</f>
        <v>3004.1872000000003</v>
      </c>
    </row>
    <row r="41" spans="1:15" s="22" customFormat="1" ht="50.25" customHeight="1">
      <c r="A41" s="91" t="s">
        <v>28</v>
      </c>
      <c r="B41" s="92" t="s">
        <v>87</v>
      </c>
      <c r="C41" s="93" t="s">
        <v>97</v>
      </c>
      <c r="D41" s="105" t="s">
        <v>12</v>
      </c>
      <c r="E41" s="105">
        <f>ROUND(39.2*22.55,2)</f>
        <v>883.96</v>
      </c>
      <c r="F41" s="169">
        <v>10.32</v>
      </c>
      <c r="G41" s="169">
        <f>E41*F41</f>
        <v>9122.467200000001</v>
      </c>
      <c r="H41" s="12"/>
      <c r="I41" s="21" t="s">
        <v>154</v>
      </c>
      <c r="K41" s="181">
        <v>9122.47</v>
      </c>
      <c r="M41" s="11"/>
      <c r="O41" s="201">
        <f>G41</f>
        <v>9122.467200000001</v>
      </c>
    </row>
    <row r="42" spans="1:15" s="22" customFormat="1" ht="128.25" customHeight="1">
      <c r="A42" s="91" t="s">
        <v>29</v>
      </c>
      <c r="B42" s="92" t="s">
        <v>88</v>
      </c>
      <c r="C42" s="93" t="s">
        <v>98</v>
      </c>
      <c r="D42" s="105" t="s">
        <v>12</v>
      </c>
      <c r="E42" s="105">
        <f>ROUND((126*0.1)+(19.48*0.1)+(22.76*0.1*2)+(15.55*0.1*2)+(11.62*0.1)+(72*0.1)+(26.7*0.1*2),2)</f>
        <v>35.91</v>
      </c>
      <c r="F42" s="169">
        <v>48.98</v>
      </c>
      <c r="G42" s="169">
        <f>E42*F42</f>
        <v>1758.8717999999997</v>
      </c>
      <c r="H42" s="12"/>
      <c r="I42" s="21" t="s">
        <v>155</v>
      </c>
      <c r="K42" s="181">
        <v>1758.87</v>
      </c>
      <c r="M42" s="11"/>
      <c r="O42" s="201">
        <f>G42</f>
        <v>1758.8717999999997</v>
      </c>
    </row>
    <row r="43" spans="1:15" s="22" customFormat="1" ht="102" customHeight="1">
      <c r="A43" s="94" t="s">
        <v>30</v>
      </c>
      <c r="B43" s="92" t="s">
        <v>89</v>
      </c>
      <c r="C43" s="93" t="s">
        <v>99</v>
      </c>
      <c r="D43" s="105" t="s">
        <v>12</v>
      </c>
      <c r="E43" s="105">
        <f>ROUND((2*3.14*0.025*24*6)+(2*3.14*0.025*39.2*5)+(2*3.14*0.025*2.3*7)+(2*3.14*0.025*3.8*23),2)</f>
        <v>69.63</v>
      </c>
      <c r="F43" s="169">
        <v>12.27</v>
      </c>
      <c r="G43" s="169">
        <f>E43*F43</f>
        <v>854.3600999999999</v>
      </c>
      <c r="H43" s="12"/>
      <c r="I43" s="21" t="s">
        <v>156</v>
      </c>
      <c r="K43" s="181">
        <v>854.36</v>
      </c>
      <c r="M43" s="11"/>
      <c r="O43" s="201">
        <f>G43</f>
        <v>854.3600999999999</v>
      </c>
    </row>
    <row r="44" spans="1:15" s="22" customFormat="1" ht="127.5" customHeight="1">
      <c r="A44" s="91" t="s">
        <v>54</v>
      </c>
      <c r="B44" s="92" t="s">
        <v>157</v>
      </c>
      <c r="C44" s="93" t="s">
        <v>158</v>
      </c>
      <c r="D44" s="105" t="s">
        <v>12</v>
      </c>
      <c r="E44" s="105">
        <f>ROUND((7.6*1.42*3.5*8)+(5.6*1.42*3.5*8)+(24.65*1.84*3.5*8)+(39.2*0.5*17),2)</f>
        <v>2128</v>
      </c>
      <c r="F44" s="169">
        <v>20.84</v>
      </c>
      <c r="G44" s="169">
        <f>E44*F44</f>
        <v>44347.52</v>
      </c>
      <c r="H44" s="12"/>
      <c r="I44" s="21" t="s">
        <v>183</v>
      </c>
      <c r="K44" s="181">
        <v>44347.52</v>
      </c>
      <c r="M44" s="11"/>
      <c r="N44" s="181">
        <f>$G44/2</f>
        <v>22173.76</v>
      </c>
      <c r="O44" s="181">
        <f>$G44/2</f>
        <v>22173.76</v>
      </c>
    </row>
    <row r="45" spans="1:13" s="78" customFormat="1" ht="9.75" customHeight="1" thickBot="1">
      <c r="A45" s="83"/>
      <c r="B45" s="84"/>
      <c r="C45" s="62"/>
      <c r="D45" s="80"/>
      <c r="E45" s="79"/>
      <c r="F45" s="177"/>
      <c r="G45" s="170"/>
      <c r="H45" s="76"/>
      <c r="I45" s="77"/>
      <c r="K45" s="182"/>
      <c r="M45" s="81"/>
    </row>
    <row r="46" spans="1:13" s="22" customFormat="1" ht="30" customHeight="1" thickBot="1">
      <c r="A46" s="87" t="s">
        <v>31</v>
      </c>
      <c r="B46" s="88"/>
      <c r="C46" s="89" t="s">
        <v>90</v>
      </c>
      <c r="D46" s="90"/>
      <c r="E46" s="90"/>
      <c r="F46" s="176"/>
      <c r="G46" s="168">
        <f>ROUND(SUM(G47:G49),2)</f>
        <v>610.62</v>
      </c>
      <c r="H46" s="12"/>
      <c r="I46" s="21"/>
      <c r="K46" s="181"/>
      <c r="M46" s="11"/>
    </row>
    <row r="47" spans="1:15" s="22" customFormat="1" ht="25.5" customHeight="1">
      <c r="A47" s="91" t="s">
        <v>190</v>
      </c>
      <c r="B47" s="92" t="s">
        <v>91</v>
      </c>
      <c r="C47" s="93" t="s">
        <v>94</v>
      </c>
      <c r="D47" s="105" t="s">
        <v>18</v>
      </c>
      <c r="E47" s="105">
        <v>6</v>
      </c>
      <c r="F47" s="169">
        <v>62.41</v>
      </c>
      <c r="G47" s="169">
        <f>E47*F47</f>
        <v>374.46</v>
      </c>
      <c r="H47" s="12"/>
      <c r="I47" s="21" t="s">
        <v>159</v>
      </c>
      <c r="K47" s="181">
        <v>374.46</v>
      </c>
      <c r="M47" s="11"/>
      <c r="O47" s="181">
        <f>G47</f>
        <v>374.46</v>
      </c>
    </row>
    <row r="48" spans="1:15" s="22" customFormat="1" ht="26.25" customHeight="1">
      <c r="A48" s="91" t="s">
        <v>191</v>
      </c>
      <c r="B48" s="92" t="s">
        <v>48</v>
      </c>
      <c r="C48" s="93" t="s">
        <v>49</v>
      </c>
      <c r="D48" s="105" t="s">
        <v>18</v>
      </c>
      <c r="E48" s="105">
        <v>1</v>
      </c>
      <c r="F48" s="169">
        <v>30.65</v>
      </c>
      <c r="G48" s="169">
        <f>E48*F48</f>
        <v>30.65</v>
      </c>
      <c r="H48" s="12"/>
      <c r="I48" s="21" t="s">
        <v>160</v>
      </c>
      <c r="K48" s="181">
        <v>30.65</v>
      </c>
      <c r="M48" s="11"/>
      <c r="O48" s="181">
        <f>G48</f>
        <v>30.65</v>
      </c>
    </row>
    <row r="49" spans="1:15" s="22" customFormat="1" ht="87" customHeight="1">
      <c r="A49" s="91" t="s">
        <v>192</v>
      </c>
      <c r="B49" s="92" t="s">
        <v>172</v>
      </c>
      <c r="C49" s="93" t="s">
        <v>173</v>
      </c>
      <c r="D49" s="105" t="s">
        <v>18</v>
      </c>
      <c r="E49" s="105">
        <v>1</v>
      </c>
      <c r="F49" s="169">
        <v>205.51</v>
      </c>
      <c r="G49" s="169">
        <f>E49*F49</f>
        <v>205.51</v>
      </c>
      <c r="H49" s="12"/>
      <c r="I49" s="21" t="s">
        <v>174</v>
      </c>
      <c r="K49" s="181">
        <v>205.51</v>
      </c>
      <c r="M49" s="11"/>
      <c r="O49" s="181">
        <f>G49</f>
        <v>205.51</v>
      </c>
    </row>
    <row r="50" spans="1:13" s="78" customFormat="1" ht="9.75" customHeight="1">
      <c r="A50" s="83"/>
      <c r="B50" s="84"/>
      <c r="C50" s="62"/>
      <c r="D50" s="80"/>
      <c r="E50" s="79"/>
      <c r="F50" s="85"/>
      <c r="G50" s="170"/>
      <c r="H50" s="76"/>
      <c r="I50" s="77"/>
      <c r="K50" s="182"/>
      <c r="M50" s="81"/>
    </row>
    <row r="51" spans="1:13" s="22" customFormat="1" ht="9.75" customHeight="1" thickBot="1">
      <c r="A51" s="27"/>
      <c r="B51" s="27"/>
      <c r="C51" s="28"/>
      <c r="D51" s="27"/>
      <c r="E51" s="66"/>
      <c r="F51" s="29"/>
      <c r="G51" s="172"/>
      <c r="H51" s="12"/>
      <c r="I51" s="21"/>
      <c r="K51" s="181"/>
      <c r="M51" s="11"/>
    </row>
    <row r="52" spans="1:15" s="35" customFormat="1" ht="19.5" customHeight="1">
      <c r="A52" s="30"/>
      <c r="B52" s="31"/>
      <c r="C52" s="32"/>
      <c r="D52" s="33" t="s">
        <v>34</v>
      </c>
      <c r="E52" s="33"/>
      <c r="F52" s="67"/>
      <c r="G52" s="173">
        <f>ROUND(G11+G22+G33+G39+G46,2)</f>
        <v>108905.9</v>
      </c>
      <c r="H52" s="12"/>
      <c r="I52" s="34"/>
      <c r="K52" s="184">
        <v>108905.9</v>
      </c>
      <c r="M52" s="203">
        <f>SUM(M1:M49)</f>
        <v>11850.207333333332</v>
      </c>
      <c r="N52" s="203">
        <f>SUM(N1:N49)</f>
        <v>46858.23733333334</v>
      </c>
      <c r="O52" s="203">
        <f>SUM(O1:O49)</f>
        <v>47689.73143333333</v>
      </c>
    </row>
    <row r="53" spans="1:15" s="35" customFormat="1" ht="19.5" customHeight="1" thickBot="1">
      <c r="A53" s="36"/>
      <c r="B53" s="37"/>
      <c r="C53" s="38"/>
      <c r="D53" s="39" t="s">
        <v>41</v>
      </c>
      <c r="E53" s="39"/>
      <c r="F53" s="37"/>
      <c r="G53" s="174">
        <f>ROUND(G52*0.2223,2)</f>
        <v>24209.78</v>
      </c>
      <c r="H53" s="12"/>
      <c r="I53" s="34"/>
      <c r="K53" s="184">
        <v>24209.78</v>
      </c>
      <c r="M53" s="204">
        <f>M52/G52</f>
        <v>0.10881143568285404</v>
      </c>
      <c r="N53" s="204">
        <f>N52/G52</f>
        <v>0.4302635333194376</v>
      </c>
      <c r="O53" s="204">
        <f>O52/G52</f>
        <v>0.43789851085508985</v>
      </c>
    </row>
    <row r="54" spans="1:13" s="35" customFormat="1" ht="19.5" customHeight="1">
      <c r="A54" s="30"/>
      <c r="B54" s="31"/>
      <c r="C54" s="32"/>
      <c r="D54" s="40" t="s">
        <v>35</v>
      </c>
      <c r="E54" s="40"/>
      <c r="F54" s="68"/>
      <c r="G54" s="173">
        <f>ROUND(G52+G53,2)</f>
        <v>133115.68</v>
      </c>
      <c r="H54" s="12"/>
      <c r="I54" s="34"/>
      <c r="K54" s="184"/>
      <c r="M54" s="73"/>
    </row>
  </sheetData>
  <sheetProtection selectLockedCells="1" selectUnlockedCells="1"/>
  <mergeCells count="3">
    <mergeCell ref="A6:G7"/>
    <mergeCell ref="C9:G9"/>
    <mergeCell ref="M10:O10"/>
  </mergeCells>
  <printOptions/>
  <pageMargins left="0.15748031496062992" right="0" top="0.31496062992125984" bottom="0.15748031496062992" header="0.2362204724409449" footer="0.5118110236220472"/>
  <pageSetup horizontalDpi="300" verticalDpi="300" orientation="landscape" paperSize="9" r:id="rId2"/>
  <headerFooter alignWithMargins="0">
    <oddHeader>&amp;R&amp;8Página &amp;P de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="140" zoomScaleNormal="140" zoomScalePageLayoutView="0" workbookViewId="0" topLeftCell="A1">
      <selection activeCell="J18" sqref="J18"/>
    </sheetView>
  </sheetViews>
  <sheetFormatPr defaultColWidth="9.140625" defaultRowHeight="12.75"/>
  <cols>
    <col min="1" max="1" width="4.7109375" style="25" customWidth="1"/>
    <col min="2" max="2" width="32.7109375" style="25" customWidth="1"/>
    <col min="3" max="8" width="5.7109375" style="25" customWidth="1"/>
  </cols>
  <sheetData>
    <row r="1" spans="1:8" ht="13.5" customHeight="1" thickBot="1">
      <c r="A1" s="148" t="s">
        <v>38</v>
      </c>
      <c r="B1" s="148"/>
      <c r="C1" s="149" t="s">
        <v>39</v>
      </c>
      <c r="D1" s="149"/>
      <c r="E1" s="149"/>
      <c r="F1" s="149"/>
      <c r="G1" s="149"/>
      <c r="H1" s="149"/>
    </row>
    <row r="2" spans="1:8" ht="13.5" customHeight="1" thickBot="1">
      <c r="A2" s="190"/>
      <c r="B2" s="190"/>
      <c r="C2" s="150">
        <v>30</v>
      </c>
      <c r="D2" s="151"/>
      <c r="E2" s="151">
        <v>60</v>
      </c>
      <c r="F2" s="151"/>
      <c r="G2" s="151">
        <v>90</v>
      </c>
      <c r="H2" s="152"/>
    </row>
    <row r="3" spans="1:8" ht="12.75">
      <c r="A3" s="191"/>
      <c r="B3" s="192"/>
      <c r="C3" s="185"/>
      <c r="D3" s="47"/>
      <c r="E3" s="47"/>
      <c r="F3" s="47"/>
      <c r="G3" s="47"/>
      <c r="H3" s="48"/>
    </row>
    <row r="4" spans="1:8" ht="15" customHeight="1">
      <c r="A4" s="193" t="s">
        <v>7</v>
      </c>
      <c r="B4" s="194" t="s">
        <v>8</v>
      </c>
      <c r="C4" s="186"/>
      <c r="D4" s="51"/>
      <c r="E4" s="51"/>
      <c r="F4" s="51"/>
      <c r="G4" s="51"/>
      <c r="H4" s="56"/>
    </row>
    <row r="5" spans="1:8" ht="9.75" customHeight="1">
      <c r="A5" s="193"/>
      <c r="B5" s="194"/>
      <c r="C5" s="187"/>
      <c r="D5" s="49"/>
      <c r="E5" s="49"/>
      <c r="F5" s="49"/>
      <c r="G5" s="49"/>
      <c r="H5" s="50"/>
    </row>
    <row r="6" spans="1:8" ht="15" customHeight="1">
      <c r="A6" s="193" t="s">
        <v>20</v>
      </c>
      <c r="B6" s="195" t="s">
        <v>50</v>
      </c>
      <c r="C6" s="186"/>
      <c r="D6" s="51"/>
      <c r="E6" s="51"/>
      <c r="F6" s="51"/>
      <c r="G6" s="49"/>
      <c r="H6" s="53"/>
    </row>
    <row r="7" spans="1:8" s="55" customFormat="1" ht="9.75" customHeight="1">
      <c r="A7" s="196"/>
      <c r="B7" s="197"/>
      <c r="C7" s="188"/>
      <c r="D7" s="49"/>
      <c r="E7" s="49"/>
      <c r="F7" s="49"/>
      <c r="G7" s="49"/>
      <c r="H7" s="53"/>
    </row>
    <row r="8" spans="1:8" ht="15" customHeight="1">
      <c r="A8" s="193" t="s">
        <v>23</v>
      </c>
      <c r="B8" s="195" t="s">
        <v>32</v>
      </c>
      <c r="C8" s="188"/>
      <c r="D8" s="52"/>
      <c r="E8" s="54"/>
      <c r="F8" s="200" t="s">
        <v>189</v>
      </c>
      <c r="G8" s="200" t="s">
        <v>189</v>
      </c>
      <c r="H8" s="56"/>
    </row>
    <row r="9" spans="1:8" s="55" customFormat="1" ht="9.75" customHeight="1">
      <c r="A9" s="196"/>
      <c r="B9" s="197"/>
      <c r="C9" s="188"/>
      <c r="D9" s="52"/>
      <c r="E9" s="49"/>
      <c r="F9" s="49"/>
      <c r="G9" s="49"/>
      <c r="H9" s="53"/>
    </row>
    <row r="10" spans="1:8" ht="15" customHeight="1">
      <c r="A10" s="193" t="s">
        <v>26</v>
      </c>
      <c r="B10" s="195" t="s">
        <v>33</v>
      </c>
      <c r="C10" s="188"/>
      <c r="D10" s="52"/>
      <c r="E10" s="51"/>
      <c r="F10" s="51"/>
      <c r="G10" s="51"/>
      <c r="H10" s="56"/>
    </row>
    <row r="11" spans="1:8" s="55" customFormat="1" ht="9.75" customHeight="1">
      <c r="A11" s="196"/>
      <c r="B11" s="197"/>
      <c r="C11" s="188"/>
      <c r="D11" s="52"/>
      <c r="E11" s="54"/>
      <c r="F11" s="54"/>
      <c r="G11" s="54"/>
      <c r="H11" s="53"/>
    </row>
    <row r="12" spans="1:8" ht="15" customHeight="1">
      <c r="A12" s="193" t="s">
        <v>31</v>
      </c>
      <c r="B12" s="195" t="s">
        <v>90</v>
      </c>
      <c r="C12" s="188"/>
      <c r="D12" s="52"/>
      <c r="E12" s="52"/>
      <c r="F12" s="52"/>
      <c r="G12" s="51"/>
      <c r="H12" s="53"/>
    </row>
    <row r="13" spans="1:8" ht="9.75" customHeight="1" thickBot="1">
      <c r="A13" s="198"/>
      <c r="B13" s="199"/>
      <c r="C13" s="189"/>
      <c r="D13" s="57"/>
      <c r="E13" s="57"/>
      <c r="F13" s="57"/>
      <c r="G13" s="57"/>
      <c r="H13" s="58"/>
    </row>
  </sheetData>
  <sheetProtection selectLockedCells="1" selectUnlockedCells="1"/>
  <mergeCells count="5">
    <mergeCell ref="A1:B2"/>
    <mergeCell ref="C1:H1"/>
    <mergeCell ref="C2:D2"/>
    <mergeCell ref="E2:F2"/>
    <mergeCell ref="G2:H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="110" zoomScaleNormal="110" zoomScalePageLayoutView="0" workbookViewId="0" topLeftCell="A1">
      <selection activeCell="L8" sqref="L8"/>
    </sheetView>
  </sheetViews>
  <sheetFormatPr defaultColWidth="9.140625" defaultRowHeight="12.75"/>
  <cols>
    <col min="1" max="1" width="18.140625" style="41" customWidth="1"/>
    <col min="2" max="4" width="18.140625" style="0" customWidth="1"/>
  </cols>
  <sheetData>
    <row r="1" spans="1:4" s="43" customFormat="1" ht="19.5" customHeight="1">
      <c r="A1" s="42" t="s">
        <v>36</v>
      </c>
      <c r="B1" s="42" t="s">
        <v>55</v>
      </c>
      <c r="C1" s="42" t="s">
        <v>56</v>
      </c>
      <c r="D1" s="42" t="s">
        <v>57</v>
      </c>
    </row>
    <row r="2" spans="1:4" ht="49.5" customHeight="1">
      <c r="A2" s="44" t="s">
        <v>37</v>
      </c>
      <c r="B2" s="44" t="s">
        <v>37</v>
      </c>
      <c r="C2" s="44" t="s">
        <v>37</v>
      </c>
      <c r="D2" s="44"/>
    </row>
    <row r="3" spans="1:4" ht="19.5" customHeight="1">
      <c r="A3" s="45">
        <v>0.1</v>
      </c>
      <c r="B3" s="45">
        <v>0.45</v>
      </c>
      <c r="C3" s="45">
        <v>0.45</v>
      </c>
      <c r="D3" s="45">
        <v>1</v>
      </c>
    </row>
    <row r="4" spans="1:4" ht="19.5" customHeight="1">
      <c r="A4" s="46">
        <f>0.1*PLANILHA!G54-0.01</f>
        <v>13311.557999999999</v>
      </c>
      <c r="B4" s="46">
        <f>0.45*PLANILHA!G54</f>
        <v>59902.056</v>
      </c>
      <c r="C4" s="46">
        <f>0.45*PLANILHA!G54</f>
        <v>59902.056</v>
      </c>
      <c r="D4" s="46">
        <f>SUM(A4:C4)+0.01</f>
        <v>133115.68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zoomScalePageLayoutView="0" workbookViewId="0" topLeftCell="A10">
      <selection activeCell="N10" sqref="N10"/>
    </sheetView>
  </sheetViews>
  <sheetFormatPr defaultColWidth="9.140625" defaultRowHeight="12.75"/>
  <cols>
    <col min="3" max="3" width="21.140625" style="0" customWidth="1"/>
    <col min="4" max="4" width="5.8515625" style="0" customWidth="1"/>
    <col min="5" max="5" width="5.00390625" style="0" customWidth="1"/>
    <col min="6" max="6" width="6.8515625" style="0" customWidth="1"/>
    <col min="7" max="7" width="5.57421875" style="0" customWidth="1"/>
    <col min="8" max="8" width="10.140625" style="0" customWidth="1"/>
    <col min="9" max="9" width="10.421875" style="0" customWidth="1"/>
    <col min="10" max="10" width="9.28125" style="0" bestFit="1" customWidth="1"/>
  </cols>
  <sheetData>
    <row r="1" spans="1:10" ht="58.5" customHeight="1">
      <c r="A1" s="153" t="s">
        <v>112</v>
      </c>
      <c r="B1" s="154"/>
      <c r="C1" s="155" t="s">
        <v>116</v>
      </c>
      <c r="D1" s="155"/>
      <c r="E1" s="155"/>
      <c r="F1" s="155"/>
      <c r="G1" s="155"/>
      <c r="H1" s="155"/>
      <c r="I1" s="155"/>
      <c r="J1" s="156"/>
    </row>
    <row r="2" spans="1:10" ht="12.75">
      <c r="A2" s="157" t="s">
        <v>140</v>
      </c>
      <c r="B2" s="158"/>
      <c r="C2" s="158"/>
      <c r="D2" s="158"/>
      <c r="E2" s="158"/>
      <c r="F2" s="158"/>
      <c r="G2" s="158"/>
      <c r="H2" s="158"/>
      <c r="I2" s="158"/>
      <c r="J2" s="159"/>
    </row>
    <row r="3" spans="1:10" ht="24">
      <c r="A3" s="134" t="s">
        <v>117</v>
      </c>
      <c r="B3" s="106" t="s">
        <v>118</v>
      </c>
      <c r="C3" s="107" t="s">
        <v>119</v>
      </c>
      <c r="D3" s="106" t="s">
        <v>120</v>
      </c>
      <c r="E3" s="106" t="s">
        <v>121</v>
      </c>
      <c r="F3" s="108" t="s">
        <v>122</v>
      </c>
      <c r="G3" s="109" t="s">
        <v>123</v>
      </c>
      <c r="H3" s="109" t="s">
        <v>124</v>
      </c>
      <c r="I3" s="110" t="s">
        <v>125</v>
      </c>
      <c r="J3" s="135" t="s">
        <v>57</v>
      </c>
    </row>
    <row r="4" spans="1:12" ht="62.25" customHeight="1">
      <c r="A4" s="136" t="s">
        <v>139</v>
      </c>
      <c r="B4" s="111" t="s">
        <v>127</v>
      </c>
      <c r="C4" s="112" t="s">
        <v>128</v>
      </c>
      <c r="D4" s="113" t="s">
        <v>43</v>
      </c>
      <c r="E4" s="113"/>
      <c r="F4" s="114" t="s">
        <v>129</v>
      </c>
      <c r="G4" s="115" t="s">
        <v>130</v>
      </c>
      <c r="H4" s="163">
        <v>18.05</v>
      </c>
      <c r="I4" s="116" t="s">
        <v>141</v>
      </c>
      <c r="J4" s="137">
        <f>ROUND((F4*H4)*(1+(G4*0.01)),2)</f>
        <v>5.58</v>
      </c>
      <c r="L4" s="117"/>
    </row>
    <row r="5" spans="1:12" ht="57" customHeight="1">
      <c r="A5" s="136" t="s">
        <v>126</v>
      </c>
      <c r="B5" s="111" t="s">
        <v>132</v>
      </c>
      <c r="C5" s="112" t="s">
        <v>133</v>
      </c>
      <c r="D5" s="113" t="s">
        <v>43</v>
      </c>
      <c r="E5" s="113"/>
      <c r="F5" s="114" t="s">
        <v>129</v>
      </c>
      <c r="G5" s="115" t="s">
        <v>130</v>
      </c>
      <c r="H5" s="163">
        <v>13.08</v>
      </c>
      <c r="I5" s="116" t="s">
        <v>141</v>
      </c>
      <c r="J5" s="137">
        <f>ROUND((F5*H5)*(1+(G5*0.01)),2)</f>
        <v>4.04</v>
      </c>
      <c r="L5" s="117"/>
    </row>
    <row r="6" spans="1:10" ht="42" customHeight="1">
      <c r="A6" s="138" t="s">
        <v>131</v>
      </c>
      <c r="B6" s="118" t="s">
        <v>135</v>
      </c>
      <c r="C6" s="119" t="s">
        <v>136</v>
      </c>
      <c r="D6" s="120" t="s">
        <v>18</v>
      </c>
      <c r="E6" s="120"/>
      <c r="F6" s="121" t="s">
        <v>137</v>
      </c>
      <c r="G6" s="122" t="s">
        <v>138</v>
      </c>
      <c r="H6" s="164">
        <v>1.31</v>
      </c>
      <c r="I6" s="123" t="s">
        <v>141</v>
      </c>
      <c r="J6" s="139">
        <f>ROUND((F6*H6)*(1+(G6*0.01)),2)</f>
        <v>1.97</v>
      </c>
    </row>
    <row r="7" spans="1:11" ht="13.5">
      <c r="A7" s="124"/>
      <c r="B7" s="124"/>
      <c r="C7" s="125"/>
      <c r="D7" s="126" t="s">
        <v>12</v>
      </c>
      <c r="E7" s="127"/>
      <c r="F7" s="128"/>
      <c r="G7" s="129"/>
      <c r="H7" s="129"/>
      <c r="I7" s="129"/>
      <c r="J7" s="130">
        <f>J4+J5+J6</f>
        <v>11.590000000000002</v>
      </c>
      <c r="K7" s="131"/>
    </row>
    <row r="8" spans="3:10" ht="14.25">
      <c r="C8" s="132"/>
      <c r="D8" s="133"/>
      <c r="E8" s="133"/>
      <c r="F8" s="133"/>
      <c r="G8" s="133"/>
      <c r="H8" s="133"/>
      <c r="I8" s="133"/>
      <c r="J8" s="133"/>
    </row>
    <row r="9" ht="12.75">
      <c r="C9" s="132"/>
    </row>
    <row r="10" spans="1:10" ht="54" customHeight="1">
      <c r="A10" s="153" t="s">
        <v>172</v>
      </c>
      <c r="B10" s="154"/>
      <c r="C10" s="155" t="s">
        <v>173</v>
      </c>
      <c r="D10" s="155"/>
      <c r="E10" s="155"/>
      <c r="F10" s="155"/>
      <c r="G10" s="155"/>
      <c r="H10" s="155"/>
      <c r="I10" s="155"/>
      <c r="J10" s="156"/>
    </row>
    <row r="11" spans="1:10" ht="12.75">
      <c r="A11" s="157" t="s">
        <v>140</v>
      </c>
      <c r="B11" s="158"/>
      <c r="C11" s="158"/>
      <c r="D11" s="158"/>
      <c r="E11" s="158"/>
      <c r="F11" s="158"/>
      <c r="G11" s="158"/>
      <c r="H11" s="158"/>
      <c r="I11" s="158"/>
      <c r="J11" s="159"/>
    </row>
    <row r="12" spans="1:10" ht="36">
      <c r="A12" s="134" t="s">
        <v>117</v>
      </c>
      <c r="B12" s="106" t="s">
        <v>118</v>
      </c>
      <c r="C12" s="107" t="s">
        <v>119</v>
      </c>
      <c r="D12" s="106" t="s">
        <v>120</v>
      </c>
      <c r="E12" s="106" t="s">
        <v>121</v>
      </c>
      <c r="F12" s="108" t="s">
        <v>122</v>
      </c>
      <c r="G12" s="109" t="s">
        <v>123</v>
      </c>
      <c r="H12" s="109" t="s">
        <v>124</v>
      </c>
      <c r="I12" s="110" t="s">
        <v>125</v>
      </c>
      <c r="J12" s="135" t="s">
        <v>57</v>
      </c>
    </row>
    <row r="13" spans="1:10" ht="45">
      <c r="A13" s="136" t="s">
        <v>139</v>
      </c>
      <c r="B13" s="111" t="s">
        <v>161</v>
      </c>
      <c r="C13" s="112" t="s">
        <v>162</v>
      </c>
      <c r="D13" s="113" t="s">
        <v>19</v>
      </c>
      <c r="E13" s="113"/>
      <c r="F13" s="114" t="s">
        <v>163</v>
      </c>
      <c r="G13" s="115" t="s">
        <v>138</v>
      </c>
      <c r="H13" s="160">
        <v>0.9406</v>
      </c>
      <c r="I13" s="165" t="s">
        <v>141</v>
      </c>
      <c r="J13" s="137">
        <f>ROUND((F13*H13)*(1+(G13*0.01)),2)</f>
        <v>42.33</v>
      </c>
    </row>
    <row r="14" spans="1:10" ht="56.25">
      <c r="A14" s="136" t="s">
        <v>126</v>
      </c>
      <c r="B14" s="111" t="s">
        <v>164</v>
      </c>
      <c r="C14" s="112" t="s">
        <v>165</v>
      </c>
      <c r="D14" s="113" t="s">
        <v>43</v>
      </c>
      <c r="E14" s="113"/>
      <c r="F14" s="114" t="s">
        <v>166</v>
      </c>
      <c r="G14" s="115" t="s">
        <v>130</v>
      </c>
      <c r="H14" s="161">
        <v>20.83</v>
      </c>
      <c r="I14" s="165" t="s">
        <v>141</v>
      </c>
      <c r="J14" s="137">
        <f>ROUND((F14*H14)*(1+(G14*0.01)),2)</f>
        <v>139.46</v>
      </c>
    </row>
    <row r="15" spans="1:10" ht="45">
      <c r="A15" s="136" t="s">
        <v>131</v>
      </c>
      <c r="B15" s="111" t="s">
        <v>167</v>
      </c>
      <c r="C15" s="112" t="s">
        <v>168</v>
      </c>
      <c r="D15" s="113" t="s">
        <v>18</v>
      </c>
      <c r="E15" s="113"/>
      <c r="F15" s="114" t="s">
        <v>169</v>
      </c>
      <c r="G15" s="115" t="s">
        <v>138</v>
      </c>
      <c r="H15" s="160">
        <v>5.38</v>
      </c>
      <c r="I15" s="165" t="s">
        <v>141</v>
      </c>
      <c r="J15" s="137">
        <f>ROUND((F15*H15)*(1+(G15*0.01)),2)</f>
        <v>21.52</v>
      </c>
    </row>
    <row r="16" spans="1:10" ht="22.5">
      <c r="A16" s="138" t="s">
        <v>134</v>
      </c>
      <c r="B16" s="118" t="s">
        <v>170</v>
      </c>
      <c r="C16" s="119" t="s">
        <v>171</v>
      </c>
      <c r="D16" s="120" t="s">
        <v>18</v>
      </c>
      <c r="E16" s="120"/>
      <c r="F16" s="121" t="s">
        <v>169</v>
      </c>
      <c r="G16" s="122" t="s">
        <v>138</v>
      </c>
      <c r="H16" s="162">
        <v>0.55</v>
      </c>
      <c r="I16" s="166" t="s">
        <v>141</v>
      </c>
      <c r="J16" s="139">
        <f>ROUND((F16*H16)*(1+(G16*0.01)),2)</f>
        <v>2.2</v>
      </c>
    </row>
    <row r="17" spans="1:10" ht="12.75">
      <c r="A17" s="124"/>
      <c r="B17" s="124"/>
      <c r="C17" s="125"/>
      <c r="D17" s="143" t="s">
        <v>18</v>
      </c>
      <c r="E17" s="142"/>
      <c r="F17" s="140"/>
      <c r="G17" s="141"/>
      <c r="H17" s="141"/>
      <c r="I17" s="167"/>
      <c r="J17" s="144">
        <f>SUM(J13:J16)</f>
        <v>205.51000000000002</v>
      </c>
    </row>
  </sheetData>
  <sheetProtection/>
  <mergeCells count="6">
    <mergeCell ref="A1:B1"/>
    <mergeCell ref="C1:J1"/>
    <mergeCell ref="A2:J2"/>
    <mergeCell ref="A10:B10"/>
    <mergeCell ref="C10:J10"/>
    <mergeCell ref="A11:J11"/>
  </mergeCells>
  <printOptions/>
  <pageMargins left="0.5118110236220472" right="0.5118110236220472" top="0.7874015748031497" bottom="0.7874015748031497" header="0.31496062992125984" footer="0.31496062992125984"/>
  <pageSetup fitToHeight="1" fitToWidth="1" horizontalDpi="200" verticalDpi="2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Martô</dc:creator>
  <cp:keywords/>
  <dc:description/>
  <cp:lastModifiedBy>Martô</cp:lastModifiedBy>
  <cp:lastPrinted>2020-07-15T21:51:43Z</cp:lastPrinted>
  <dcterms:created xsi:type="dcterms:W3CDTF">2018-08-23T20:56:05Z</dcterms:created>
  <dcterms:modified xsi:type="dcterms:W3CDTF">2020-07-15T21:52:20Z</dcterms:modified>
  <cp:category/>
  <cp:version/>
  <cp:contentType/>
  <cp:contentStatus/>
</cp:coreProperties>
</file>