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CAXIAS II" sheetId="1" r:id="rId1"/>
  </sheets>
  <definedNames>
    <definedName name="_xlnm.Print_Area" localSheetId="0">'CAXIAS II'!$A$1:$H$156</definedName>
    <definedName name="all">#REF!</definedName>
    <definedName name="all_1">"$'Planilha _ Casa_Popular'.$#REF!$#REF!:$#REF!$#REF!"</definedName>
    <definedName name="Excel_BuiltIn_Database">"$#REF!.$A$6:$B$8133"</definedName>
    <definedName name="poarRR">#REF!</definedName>
    <definedName name="all" localSheetId="0">"'file:///A:/Xls/Programas/Orçat.xls'#$'Atualização de Planilha'.$#REF!$#REF!:$#REF!$#REF!"</definedName>
    <definedName name="poarRR" localSheetId="0">"$#REF!.$#REF!$#REF!:$#REF!$#REF!"</definedName>
    <definedName name="__xlnm_Print_Area" localSheetId="0">'CAXIAS II'!$A$1:$G$156</definedName>
    <definedName name="__xlnm_Print_Area_0" localSheetId="0">'CAXIAS II'!$A$1:$G$156</definedName>
    <definedName name="__xlnm_Print_Area_0_0" localSheetId="0">'CAXIAS II'!$A$1:$G$156</definedName>
    <definedName name="__xlnm_Print_Area_0_0_0" localSheetId="0">'CAXIAS II'!$A$1:$G$156</definedName>
    <definedName name="__xlnm_Print_Area_0_0_0_0" localSheetId="0">'CAXIAS II'!$A$1:$G$156</definedName>
    <definedName name="__xlnm_Print_Area_0_0_0_0_0" localSheetId="0">'CAXIAS II'!$A$1:$G$156</definedName>
    <definedName name="__xlnm_Print_Area_0_0_0_0_0_0" localSheetId="0">'CAXIAS II'!$A$1:$G$156</definedName>
    <definedName name="__xlnm_Print_Area_0_0_0_0_0_0_0" localSheetId="0">'CAXIAS II'!$A$1:$G$156</definedName>
    <definedName name="__xlnm_Print_Area_0_0_0_0_0_0_0_0" localSheetId="0">'CAXIAS II'!$A$1:$G$156</definedName>
    <definedName name="__xlnm_Print_Area_0_0_0_0_0_0_0_0_0" localSheetId="0">'CAXIAS II'!$A$1:$G$156</definedName>
    <definedName name="__xlnm_Print_Area_0_0_0_0_0_0_0_0_0_0" localSheetId="0">'CAXIAS II'!$A$1:$G$156</definedName>
    <definedName name="__xlnm_Print_Area_0_0_0_0_0_0_0_0_0_0_0" localSheetId="0">'CAXIAS II'!$A$1:$G$156</definedName>
    <definedName name="__xlnm_Print_Titles" localSheetId="0">'CAXIAS II'!$1:$10</definedName>
    <definedName name="__xlnm_Print_Titles_0" localSheetId="0">'CAXIAS II'!$1:$10</definedName>
    <definedName name="__xlnm_Print_Titles_0_0" localSheetId="0">'CAXIAS II'!$1:$10</definedName>
    <definedName name="__xlnm_Print_Titles_0_0_0" localSheetId="0">'CAXIAS II'!$1:$10</definedName>
    <definedName name="__xlnm_Print_Titles_0_0_0_0" localSheetId="0">'CAXIAS II'!$1:$10</definedName>
    <definedName name="__xlnm_Print_Titles_0_0_0_0_0" localSheetId="0">'CAXIAS II'!$1:$10</definedName>
    <definedName name="__xlnm_Print_Titles_0_0_0_0_0_0" localSheetId="0">'CAXIAS II'!$1:$10</definedName>
    <definedName name="__xlnm_Print_Titles_0_0_0_0_0_0_0" localSheetId="0">'CAXIAS II'!$1:$10</definedName>
    <definedName name="__xlnm_Print_Titles_0_0_0_0_0_0_0_0" localSheetId="0">'CAXIAS II'!$1:$10</definedName>
    <definedName name="__xlnm_Print_Titles_0_0_0_0_0_0_0_0_0" localSheetId="0">'CAXIAS II'!$1:$10</definedName>
    <definedName name="__xlnm_Print_Titles_0_0_0_0_0_0_0_0_0_0" localSheetId="0">'CAXIAS II'!$1:$10</definedName>
    <definedName name="__xlnm_Print_Titles_0_0_0_0_0_0_0_0_0_0_0" localSheetId="0">'CAXIAS II'!$1:$10</definedName>
    <definedName name="_xlnm.Print_Titles" localSheetId="0">'CAXIAS II'!$1:$10</definedName>
  </definedNames>
  <calcPr calcId="145621"/>
  <extLst/>
</workbook>
</file>

<file path=xl/sharedStrings.xml><?xml version="1.0" encoding="utf-8"?>
<sst xmlns="http://schemas.openxmlformats.org/spreadsheetml/2006/main" count="661" uniqueCount="494">
  <si>
    <t>Prefeitura Municipal de Quissamã</t>
  </si>
  <si>
    <t>Secretaria Municipal de Obras, Serviços Públicos e Urbanismo</t>
  </si>
  <si>
    <t>Urbanização e revitalização do bairro Caxias ente a Rua Jerônimo Alves de Paula e a Ribeira</t>
  </si>
  <si>
    <t>Referência: EMOP e SINAPI - 03/2022</t>
  </si>
  <si>
    <t>Item</t>
  </si>
  <si>
    <t xml:space="preserve">Código </t>
  </si>
  <si>
    <t>Descrição</t>
  </si>
  <si>
    <t>Un.</t>
  </si>
  <si>
    <t>Quant.</t>
  </si>
  <si>
    <t>$ Unit.</t>
  </si>
  <si>
    <t>$ Parcial</t>
  </si>
  <si>
    <t>MEMÓRIA DE CÁLCULO</t>
  </si>
  <si>
    <t>01.0</t>
  </si>
  <si>
    <t xml:space="preserve">SERVIÇOS PRELIMINARES </t>
  </si>
  <si>
    <t>01.01</t>
  </si>
  <si>
    <t>02.020.0002-A</t>
  </si>
  <si>
    <t>PLACA DE IDENTIFICACAO DE OBRA PUBLICA,TIPO BANNER/PLOTTER,CONSTITUIDA POR LONA E IMPRESSAO DIGITAL,INCLUSIVE SUPORTES DE MADEIRA.FORNECIMENTO E COLOCACAO</t>
  </si>
  <si>
    <t>M2</t>
  </si>
  <si>
    <t>Placa com 2,0 m alt. x 3,0 m comprim. x 2 un.</t>
  </si>
  <si>
    <t>01.02</t>
  </si>
  <si>
    <t>02.006.0010-A</t>
  </si>
  <si>
    <t>ALUGUEL DE CONTAINER PARA ESCRITORIO,MEDINDO 2,20M LARGURA,6,20M COMPRIMENTO E 2,50M ALTURA,COMPOSTO DE CHAPAS DE ACO C/NERVURAS TRAPEZOIDAIS,ISOLAMENTO TERMO-ACUSTICO NO FORRO,CHASSIS REFORCADO E PISO EM COMPENSADO NAVAL, INCLUINDO INSTALACOES ELETRICAS,EXCLUSIVE TRANSPORTE(VIDE ITEM 04.005.0300) ECARGA E DESCARGA(VIDE ITEM 04.013.0015)</t>
  </si>
  <si>
    <t>UNXMES</t>
  </si>
  <si>
    <t>3 un. X 18meses</t>
  </si>
  <si>
    <t>01.03</t>
  </si>
  <si>
    <t>04.013.0015-A</t>
  </si>
  <si>
    <t>CARGA E DESCARGA DE CONTAINER,SEGUNDO DESCRICAO DA FAMILIA 02.006</t>
  </si>
  <si>
    <t>UN</t>
  </si>
  <si>
    <t>3un. x 2 vezes</t>
  </si>
  <si>
    <t>01.04</t>
  </si>
  <si>
    <t>04.005.0300-A</t>
  </si>
  <si>
    <t>TRANSPORTE DE CONTAINER,SEGUNDO DESCRICAO DA FAMILIA 02.006,EXCLUSIVE CARGA E DESCARGA(VIDE ITEM 04.013.0015)</t>
  </si>
  <si>
    <t>UNXKM</t>
  </si>
  <si>
    <t>3 un. x 60km</t>
  </si>
  <si>
    <t>01.05</t>
  </si>
  <si>
    <t>02.016.0001-A</t>
  </si>
  <si>
    <t>INSTALACAO E LIGACAO PROVISORIA DE ALIMENTACAO DE ENERGIA ELETRICA,EM BAIXA TENSAO,PARA CANTEIRO DE OBRAS,M3-CHAVE 100A,CARGA 3KW,20CV,EXCLUSIVE O FORNECIMENTO DO MEDIDOR</t>
  </si>
  <si>
    <t>1 un.</t>
  </si>
  <si>
    <t>01.06</t>
  </si>
  <si>
    <t>02.015.0001-A</t>
  </si>
  <si>
    <t>INSTALACAO E LIGACAO PROVISORIA PARA ABASTECIMENTO DE AGUA EESGOTAMENTO SANITARIO EM CANTEIRO DE OBRAS,INCLUSIVE ESCAVACAO,EXCLUSIVE REPOSICAO DA PAVIMENTACAO DO LOGRADOURO PUBLICO</t>
  </si>
  <si>
    <t>01.07</t>
  </si>
  <si>
    <t>05.013.0001-A</t>
  </si>
  <si>
    <t>CHAPA DE ACO CARBONO COMUM DE 3/8",PARA PASSAGEM DE VEICULOS,SOBRE VALAS EM TRAVESSIAS,COMPREENDENDO COLOCACAO,USO E RETIRADA,MEDIDA PELA AREA DE CHAPA,EM CADA APLICACAO</t>
  </si>
  <si>
    <t>2,5m x 3m x 10un</t>
  </si>
  <si>
    <t>01.08</t>
  </si>
  <si>
    <t>05.013.0003-A</t>
  </si>
  <si>
    <t>CHAPA DE ACO CARBONO COMUM DE 3/8",PARA PASSAGEM DE VEICULOS,SOBRE VALAS EM TRAVESSIAS,COMPREENDENDO SOMENTE A COLOCACAOE RETIRADA,MEDIDA PELA AREA DE CHAPA,EM CADA APLICACAO</t>
  </si>
  <si>
    <t>2,5m x 3m x 10un x 40 vezes</t>
  </si>
  <si>
    <t>01.09</t>
  </si>
  <si>
    <t>01.016.0100-A</t>
  </si>
  <si>
    <t>LEVANTAMENTO TOPOGRAFICO,PLANIALTIMETRICO CADASTRAL DE AREASDE LOGRADOUROS PUBLICOS,COMPREENDENDO NIVELAMENTO DO EIXO DE LOGRADOUROS,COM COTAS DE TAMPOES DE POCOS DE VISITA,COTASDE SOLEIRAS DE EDIFICACOES E/OU TERRENOS,LEVANTAMENTO DE POSTEACAO,ARVORES,ETC</t>
  </si>
  <si>
    <t>Somatório das áreas pavimentadas</t>
  </si>
  <si>
    <t>01.10</t>
  </si>
  <si>
    <t>02.002.0007-A</t>
  </si>
  <si>
    <t>TAPUME DE VEDACAO OU PROTECAO EXECUTADO COM TELHAS TRAPEZOIDAIS DE ACO GALVANIZADO,ESPESSURA DE 0,5MM,ESTAS COM 4 VEZESDE UTILIZACAO,INCLUSIVE ENGRADAMENTO DE MADEIRA,UTILIZADO 2VEZES,EXCLUSIVE PINTURA</t>
  </si>
  <si>
    <t>(30m x 2un + 50m x 2un) x 2m</t>
  </si>
  <si>
    <t>01.11</t>
  </si>
  <si>
    <t>05.105.0100-A</t>
  </si>
  <si>
    <t>MAO-DE-OBRA DE VIGIA,INCLUSIVE ENCARGOS SOCIAIS</t>
  </si>
  <si>
    <t>MES</t>
  </si>
  <si>
    <t>18 meses</t>
  </si>
  <si>
    <t>01.12</t>
  </si>
  <si>
    <t>05.105.0130-A</t>
  </si>
  <si>
    <t>MAO-DE-OBRA DE ENGENHEIRO OU ARQUITETO JR.,INCLUSIVE ENCARGOS SOCIAIS</t>
  </si>
  <si>
    <t>18 meses x 1/3</t>
  </si>
  <si>
    <t>02.0</t>
  </si>
  <si>
    <t>DEMOLIÇÕES E ARRANCAMENTOS</t>
  </si>
  <si>
    <t>02.01</t>
  </si>
  <si>
    <t>05.001.0142-A</t>
  </si>
  <si>
    <t>ARRANCAMENTO DE MEIOS-FIOS,DE GRANITO OU CONCRETO,RETOS OU CURVOS,INCLUSIVE EMPILHAMENTO LATERAL DENTRO DO CANTEIRO DE SERVICO</t>
  </si>
  <si>
    <t>M</t>
  </si>
  <si>
    <t>7.458,25m2 (Conforme levantamento em planta)</t>
  </si>
  <si>
    <t>02.02</t>
  </si>
  <si>
    <t>05.001.0143-A</t>
  </si>
  <si>
    <t>ARRANCAMENTO DE PARALELEPIPEDOS,INCLUSIVE EMPILHAMENTO LATERAL DENTRO DO CANTEIRO DE SERVICO</t>
  </si>
  <si>
    <t>26.720,24m2 (Conforme levantamento em planta)</t>
  </si>
  <si>
    <t>02.03</t>
  </si>
  <si>
    <t>05.001.0018-A</t>
  </si>
  <si>
    <t>DEMOLICAO MANUAL DE PISO CIMENTADO E DA RESPECTIVA BASE DE CONCRETO,OU PASSEIO DE CONCRETO,INCLUSIVE EMPILHAMENTO LATERAL DENTRO DO CANTEIRO DE SERVICO</t>
  </si>
  <si>
    <t>12.075,63m2 (Conforme levantamento em planta) x 70%</t>
  </si>
  <si>
    <t>02.04</t>
  </si>
  <si>
    <t>04.006.0009-A</t>
  </si>
  <si>
    <t>CARGA MANUAL E DESCARGA MECANICA DE MATERIAL A GRANEL(AGREGADOS,PEDRA-DE-MAO,PARALELOS,TERRA E ESCOMBROS),COMPREENDENDOOS TEMPOS PARA CARGA,DESCARGA E MANOBRAS DO CAMINHAO BASCULANTE A OLEO DIESEL,COM CAPACIDADE UTIL DE 8T,EMPREGANDO 4 SERVENTES NA CARGA</t>
  </si>
  <si>
    <t>T</t>
  </si>
  <si>
    <t>(8.452,94m2 x 0,1m x 1,25 (empolamento) x 1,4 (t/m3)) x 20%</t>
  </si>
  <si>
    <t>02.05</t>
  </si>
  <si>
    <t>04.012.0074-B</t>
  </si>
  <si>
    <t>CARGA DE MATERIAL COM PA-CARREGADEIRA DE 1,30M3,EXCLUSIVE DESPESAS COM O CAMINHAO,COMPREENDENDO TEMPO COM ESPERA E OPERACAO PARA CARGAS DE 200T POR DIA DE 8H</t>
  </si>
  <si>
    <t>(8.452,94m2 x 0,1m x 1,25 (empolamento) x 1,4 (t/m3)) x 80%</t>
  </si>
  <si>
    <t>02.06</t>
  </si>
  <si>
    <t>04.005.0163-A</t>
  </si>
  <si>
    <t>TRANSPORTE DE CARGA DE QUALQUER NATUREZA,EXCLUSIVE AS DESPESAS DE CARGA E DESCARGA,TANTO DE ESPERA DO CAMINHAO COMO DO SERVENTE OU EQUIPAMENTO AUXILIAR,A VELOCIDADE MEDIA DE 30KM/H,EM CAMINHAO BASCULANTE A OLEO DIESEL,COM CAPACIDADE UTIL DE17T</t>
  </si>
  <si>
    <t>T X KM</t>
  </si>
  <si>
    <t>(295,85 + 1183,41) t x 10km</t>
  </si>
  <si>
    <t>M2 PARALELEO REAPROVEITADO</t>
  </si>
  <si>
    <t>02.07</t>
  </si>
  <si>
    <t>04.012.0075-B</t>
  </si>
  <si>
    <t>CARGA DE MATERIAL COM PA-CARREGADEIRA DE 1,30M3,EXCLUSIVE DESPESAS COM O CAMINHAO,COMPREENDENDO TEMPO COM ESPERA E OPERACAO PARA CARGAS DE 250T POR DIA DE 8H</t>
  </si>
  <si>
    <t>26.720,24m2 x 0,1m x 1,25 (empolamento) x 1,4 t/m3</t>
  </si>
  <si>
    <t>02.08</t>
  </si>
  <si>
    <t>04.005.0161-A</t>
  </si>
  <si>
    <t>TRANSPORTE DE CARGA DE QUALQUER NATUREZA,EXCLUSIVE AS DESPESAS DE CARGA E DESCARGA,TANTO DE ESPERA DO CAMINHAO COMO DO SERVENTE OU EQUIPAMENTO AUXILIAR,A VELOCIDADE MEDIA DE 40KM/H,EM CAMINHAO BASCULANTE A OLEO DIESEL,COM CAPACIDADE UTIL DE17T</t>
  </si>
  <si>
    <t>26.720,24m2 x 0,1m x 1,25 (empolamento) x 1,4 t/m3 x 30km</t>
  </si>
  <si>
    <t>02.09</t>
  </si>
  <si>
    <t>05.001.0023-A</t>
  </si>
  <si>
    <t>DEMOLICAO MANUAL DE ALVENARIA DE TIJOLOS FURADOS,INCLUSIVE EMPILHAMENTO LATERAL DENTRO DO CANTEIRO DE SERVICO</t>
  </si>
  <si>
    <t>M3</t>
  </si>
  <si>
    <t>150,00m x 0,15m x 2,00m</t>
  </si>
  <si>
    <t>02.10</t>
  </si>
  <si>
    <t>05.001.0001-A</t>
  </si>
  <si>
    <t>DEMOLICAO MANUAL DE CONCRETO SIMPLES COM EMPILHAMENTO LATERAL DENTRO DO CANTEIRO DE SERVICO</t>
  </si>
  <si>
    <t>5,00m3</t>
  </si>
  <si>
    <t>02.11</t>
  </si>
  <si>
    <t>05.001.0002-B</t>
  </si>
  <si>
    <t>DEMOLICAO MANUAL DE CONCRETO ARMADO COMPREENDENDO PILARES,VIGAS E LAJES,EM ESTRUTURA APRESENTANDO POSICAO ESPECIAL,INCLUSIVE EMPILHAMENTO LATERAL DENTRO DO CANTEIRO DE SERVICO</t>
  </si>
  <si>
    <t>03.0</t>
  </si>
  <si>
    <t>PAVIMENTAÇÃO</t>
  </si>
  <si>
    <t>03.01</t>
  </si>
  <si>
    <t>08.008.0002-A</t>
  </si>
  <si>
    <t>ASSENTAMENTO DE PARALELEPIPEDOS COM REAPROVEITAMENTO DOS MESMOS E FORNECIMENTO DO PO-DE-PEDRA,EXCLUSIVE REJUNTAMENTO</t>
  </si>
  <si>
    <t>26.720,24m2 x 80%</t>
  </si>
  <si>
    <t>03.02</t>
  </si>
  <si>
    <t>08.006.0006-A</t>
  </si>
  <si>
    <t>REJUNTAMENTO DE PAVIMENTACAO DE PARALELEPIPEDOS COM AREIA,INCLUSIVE FORNECIMENTO DO MATERIAL</t>
  </si>
  <si>
    <t>03.03</t>
  </si>
  <si>
    <t>08.040.0025-A</t>
  </si>
  <si>
    <t>MEIO-FIO DE CONCRETO USINADO 15MPA,MOLDADO "IN LOCO",ATRAVESDE MAQUINA ESPECIAL,MEDINDO EM TORNO DE 0,15M DE BASE E 0,30M DE ALTURA,ACABAMENTO COM ARGAMASSA DE CIMENTO E PO-DE-PEDRA,NO TRACO 1:3,COM FORNECIMENTO DOS MATERIAIS,EXCLUSIVE PREPARO DE BASE E TOPOGRAFIA</t>
  </si>
  <si>
    <t>21.376,19 m2 de pavimentação considerando caixa de rua média de 7,00m e os dois lados da via.</t>
  </si>
  <si>
    <t>03.04</t>
  </si>
  <si>
    <t>08.040.0005-A</t>
  </si>
  <si>
    <t>MEIO-FIO E SARJETA CONJUGADOS,DE CONCRETO USINADO 15MPA,MOLDADO "IN LOCO",ATRAVES DE MAQUINA ESPECIAL,MEDINDO EM TORNO DE 0,47M DE BASE E 0,30M DE ALTURA,ACABAMENTO COM ARGAMASSA DE CIMENTO E PO-DE-PEDRA,NO TRACO 1:3,COM FORNECIMENTO DOS MATERIAIS,EXCLUSIVE PREPARO DE BASE E TOPOGRAFIA</t>
  </si>
  <si>
    <t>4.422,09m conforme levantamento em projeto</t>
  </si>
  <si>
    <t>03.05</t>
  </si>
  <si>
    <t>08.020.0020-A</t>
  </si>
  <si>
    <t>PAVIMENTACAO LAJOTAS CONCRETO,ALTAMENTE VIBRADO,INTERTRAVADO,C/ARTICULACAO VERTICAL,PRE-FABRICADOS,COLORIDO,ESP.6CM,RESISTENCIA A COMPRESSAO 35MPA,ASSENTES SOBRE COLCHAO PO-DE-PEDRA,AREIA OU MATERIAL EQUIVALENTE,C/JUNTAS TOMADAS C/ARGAMASSACIMENTO E AREIA,TRACO 1:4 E/OU PEDRISCO E ASFALTO,EXCL.PREPARO DO TERRENO,C/FORN.DE TODOS OS MAT.,BEM COMO A COLOCACAO</t>
  </si>
  <si>
    <t>7.855,41m x 0,2m - 327,31m2</t>
  </si>
  <si>
    <t>03.06</t>
  </si>
  <si>
    <t>08.020.0008-A</t>
  </si>
  <si>
    <t>PAVIMENTACAO LAJOTAS CONCRETO,ALTAMENTE VIBRADO,INTERTRAVADO,C/ARTICULACAO VERTICAL,PRE-FABRICADOS,COR-NATURAL,ESP.6CM,RESISTENCIA A COMPRESSAO 35MPA,ASSENTES SOBRE COLCHAO PO-DE-PEDRA,AREIA OU MATERIAL EQUIVALENTE,C/JUNTAS TOMADAS C/ARGAMASSA CIMENTO E AREIA,TRACO 1:4 E/OU C/PEDRISCO E ASFALTO,EXCL.PREPARO TERRENO,C/FORN.DE TODOS OS MAT.,BEM COMO A COLOCAC.</t>
  </si>
  <si>
    <t>10.676,60m2 conforme projeto</t>
  </si>
  <si>
    <t>03.07</t>
  </si>
  <si>
    <t>08.020.0022-A</t>
  </si>
  <si>
    <t>PAVIMENTACAO LAJOTAS CONCRETO,ALTAMENTE VIBRADO,INTERTRAVADO,C/ARTICULACAO VERTICAL,PRE-FABRICADOS,COLORIDO,ESP.8CM,RESISTENCIA A COMPRESSAO 35MPA,ASSENTES SOBRE COLCHAO PO-DE-PEDRA,AREIA OU MATERIAL EQUIVALENTE,C/JUNTAS TOMADAS C/ARGAMASSACIMENTO E AREIA,TRACO 1:4 E/OU PEDRISCO E ASFALTO,EXCL.PREPARO TERRENO,C/FORN.DE TODOS OS MAT.,BEM COMO A COLOCACAO</t>
  </si>
  <si>
    <t>1.636,55m x 0,2m</t>
  </si>
  <si>
    <t>03.08</t>
  </si>
  <si>
    <t>08.020.0010-A</t>
  </si>
  <si>
    <t>PAVIMENTACAO LAJOTAS CONCRETO,ALTAMENTE VIBRADO,INTERTRAVADO,C/ARTICULACAO VERTICAL,PRE-FABRICADOS,COR NATURAL,ESP.8CM,RESISTENCIA A COMPRESSAO 35MPA,ASSENTES SOBRE COLCHAO PO-DE-PEDRA,AREIA OU MATERIAL EQUIVALENTE,C/JUNTAS TOMADAS C/ARGAMASSA CIMENTO E AREIA,TRACO 1:4 E/OU C/PEDRISCO E ASFALTO,EXCL.PREPARO TERRENO,C/FORN.DE TODOS OS MAT.,BEM COMO A COLOCAC.</t>
  </si>
  <si>
    <t>1.636,55m x 1,5m</t>
  </si>
  <si>
    <t>03.09</t>
  </si>
  <si>
    <t>08.020.0012-A</t>
  </si>
  <si>
    <t>PAVIMENTACAO LAJOTAS CONCRETO,ALTAMENTE VIBRADO,INTERTRAVADO,C/ARTICULACAO VERTICAL,PRE-FABRICADOS,COR NATURAL,ESP.10CM,RESISTENCIA A COMPRESSAO 35MPA,ASSENTES SOBRE COLCHAO PO-DE-PEDRA,AREIA OU MATERIAL EQUIVALENTE,C/JUNTAS TOMADAS C/ARGAMASSA CIMENTO E AREIA,TRACO 1:4 E/OU C/PEDRISCO E ASFALTO,EXCL.PREPARO TERRENO,C/FORN.DE TODOS OS MAT.,BEM COMO A COLOC.</t>
  </si>
  <si>
    <t>4.200,00 conforme projeto</t>
  </si>
  <si>
    <t>03.10</t>
  </si>
  <si>
    <t>13.370.0010-A</t>
  </si>
  <si>
    <t>PATIO DE CONCRETO,NA ESPESSURA DE 8CM,NO TRACO 1:3:3 EM VOLUME, FORMANDO QUADROS DE 1,00X1,00M, COM SARRAFOS DE MADEIRAINCORPORADOS,EXCLUSIVE PREPARO DO TERRENO</t>
  </si>
  <si>
    <t>1636,55m x 0,2m + 1,28m x 166m</t>
  </si>
  <si>
    <t>03.11</t>
  </si>
  <si>
    <t>08.001.0008-A</t>
  </si>
  <si>
    <t>BASE DE BRITA CORRIDA,INCLUSIVE FORNECIMENTO DOS MATERIAIS,MEDIDA APOS A COMPACTACAO</t>
  </si>
  <si>
    <t>26.171,96m2 x 0,2m + 4.200m2 x 0,2m</t>
  </si>
  <si>
    <t>03.12</t>
  </si>
  <si>
    <t>03.020.0050-B</t>
  </si>
  <si>
    <t>ESCAVACAO MECANICA DE VALA NAO ESCORADA,EM MATERIAL DE 1ªCATEGORIA,ATE 1,50M DE PROFUNDIDADE,UTILIZANDO ESCAVADEIRA HIDRAULICA DE 0,78M3,EXCLUSIVE ESGOTAMENTO</t>
  </si>
  <si>
    <t>03.13</t>
  </si>
  <si>
    <t>08.021.0001-A</t>
  </si>
  <si>
    <t>REGULARIZACAO DE SUBLEITO,DE ACORDO COM AS "INSTRUCOES PARAEXECUCAO",DO DER-RJ.O CUSTO INDENIZA AS OPERACOES DE EXECUCAO E TRANSPORTE DE AGUA E SE APLICA A AREA EFETIVAMENTE REGULARIZADA,EXCLUSIVE TRANSPORTE E ESCAVACAO DE CORRETIVOS</t>
  </si>
  <si>
    <t>26.171,96m2 + 4.200,00m2 + 21.376,19m2</t>
  </si>
  <si>
    <t>03.14</t>
  </si>
  <si>
    <t>08.026.0001-A</t>
  </si>
  <si>
    <t>IMPRIMACAO DE BASE DE PAVIMENTACAO,DE ACORDO COM AS "INSTRUCOES PARA EXECUCAO",DO DER-RJ</t>
  </si>
  <si>
    <t>26.171,96m2</t>
  </si>
  <si>
    <t>03.15</t>
  </si>
  <si>
    <t>08.026.0002-A</t>
  </si>
  <si>
    <t>PINTURA DE LIGACAO,DE ACORDO COM AS "INSTRUCOES PARA EXECUCAO",DO DER-RJ</t>
  </si>
  <si>
    <t>03.16</t>
  </si>
  <si>
    <t>08.015.0067-A</t>
  </si>
  <si>
    <t>REVESTIMENTO DE CONCRETO BETUMINOSO USINADO A QUENTE,IMPORTADO DE USINA,EXECUTADO EM UMA CAMADA,DE ACORDO COM AS INSTRUCOES/ESPECIFICACOES DO CONTRATANTE,COMPREENDENDO PREPARO,ESPALHAMENTO E COMPACATACAO MECANICOS E OS MATERIAIS,EXCLUSIVE TRANSPORTE DA USINA PARA PISTA</t>
  </si>
  <si>
    <t>(26.171,96m2 x 0,05m) x 1,15 (empolamento) x 2,3 t/m3</t>
  </si>
  <si>
    <t>03.17</t>
  </si>
  <si>
    <t>04.005.0160-A</t>
  </si>
  <si>
    <t>TRANSPORTE DE CARGA DE QUALQUER NATUREZA,EXCLUSIVE AS DESPESAS DE CARGA E DESCARGA,TANTO DE ESPERA DO CAMINHAO COMO DO SERVENTE OU EQUIPAMENTO AUXILIAR,A VELOCIDADE MEDIA DE 50KM/H,EM CAMINHAO BASCULANTE A OLEO DIESEL,COM CAPACIDADE UTIL DE17T</t>
  </si>
  <si>
    <t>(3.461,24t x 60km) + (6.074,39m3 x 1,25 (empolamento) x 1,4t/m3 x 60km)</t>
  </si>
  <si>
    <t>03.18</t>
  </si>
  <si>
    <t>6.074,39m2 x 1,25 (empolamento) x 1,4 t/m3 x 10km</t>
  </si>
  <si>
    <t>03.19</t>
  </si>
  <si>
    <t>03.025.0035-A</t>
  </si>
  <si>
    <t>ESPALHAMENTO DE MATERIAL DE 1ª CATEGORIA E ATERROS,COM TRATOR DE LAMINA COM POTENCIA EM TORNO DE 140CV.MEDIDO PELO VOLUME SOLTO</t>
  </si>
  <si>
    <t>6.074,39m3</t>
  </si>
  <si>
    <t>03.20</t>
  </si>
  <si>
    <t>01.005.0001-A</t>
  </si>
  <si>
    <t>PREPARO MANUAL DE TERRENO,COMPREENDENDO ACERTO,RASPAGEM EVENTUALMENTE ATE 0.30M DE PROFUNDIDADE E AFASTAMENTO LATERAL DOMATERIAL EXCEDENTE,EXCLUSIVE COMPACTACAO</t>
  </si>
  <si>
    <t>1.243,77m2 + 10.676,60m2 + 327,31m2 + 2454,83m2</t>
  </si>
  <si>
    <t>03.21</t>
  </si>
  <si>
    <t>00042 (elementar)</t>
  </si>
  <si>
    <t>ANEL DE CONCRETO CIRCULAR, COM 0,60M DEDIAMETRO X 0,30M DE ALTURA X 0,08M DE ESPESSURA</t>
  </si>
  <si>
    <t>300 un.</t>
  </si>
  <si>
    <t>03.22</t>
  </si>
  <si>
    <t>22.028.0040-A</t>
  </si>
  <si>
    <t>ADUBACAO QUIMICA COM FORMULA COMPLETA (NPK-10-10-10)EM GOLASDE ARVORE,INCLUSIVE LIMPEZA E REVOLVIMENTO DE SOLO.FORNECIMENTO E APLICACAO</t>
  </si>
  <si>
    <t>03.23</t>
  </si>
  <si>
    <t>09.002.0001-0</t>
  </si>
  <si>
    <t>PLANTIO DE ARVORE ISOLADA ATE 2,00M DE ALTURA,DE QUALQUER ESPECIE,EM LOGRADOURO PUBLICO,INCLUSIVE TRANSPORTE,TERRA PRETASIMPLES E ESTACA DE MADEIRA(TUTOR),EXCLUSIVE O FORNECIMENTODA ARVORE</t>
  </si>
  <si>
    <t>04.0</t>
  </si>
  <si>
    <t>DRENAGEM</t>
  </si>
  <si>
    <t>04.01</t>
  </si>
  <si>
    <t>06.015.0030-A</t>
  </si>
  <si>
    <t>CAIXA DE RALO ALVENARIA BLOCOS CONCRETO (20X20X40CM),PAREDESDE 0,20M DE ESP.,(0,30X0,90X0,90)M,P/AGUAS PLUVIAIS,SENDO PAREDES CHAPISCADAS E REVESTIDAS INTERNAMENTE C/ARGAMASSA,ENCHIMENTO BLOCOS E BASE EM CONCRETO SIMPLES FCK=10MPA E GRELHADE FERRO FUNDIDO CLASSE C-250 CONFORME ABNT NBR 10160,INCLUSIVE FORNECIMENTO DE TODOS OS MATERIAIS</t>
  </si>
  <si>
    <t>175 un.</t>
  </si>
  <si>
    <t>04.02</t>
  </si>
  <si>
    <t>06.004.0092-A</t>
  </si>
  <si>
    <t>TUBO DE CONCRETO ARMADO,CLASSE PA-2,CONFORME ABNT NBR 8890,PARA GALERIAS DE AGUAS PLUVIAIS,COM DIAMETRO DE 400MM,ATERROE SOCA ATE A ALTURA DA GERATRIZ SUPERIOR DO TUBO,CONSIDERANDO O MATERIAL DA PROPRIA ESCAVACAO,INCLUSIVE FORNECIMENTO DOMATERIAL P/REJUNTAMENTO COM ARGAMASSA DE CIMENTO E AREIA,NOTRACO 1:4 E ACERTO DE FUNDO DE VALA.FORNECIMENTO E ASSENT.</t>
  </si>
  <si>
    <t>1.003,00m + 612,50m</t>
  </si>
  <si>
    <t>04.03</t>
  </si>
  <si>
    <t>06.004.0096-A</t>
  </si>
  <si>
    <t>TUBO DE CONCRETO ARMADO,CLASSE PA-2,CONFORME ABNT NBR 8890,PARA GALERIAS DE AGUAS PLUVIAIS,COM DIAMETRO DE 600MM,ATERROE SOCA ATE A ALTURA DE GERATRIZ SUPERIOR DO TUBO,CONSIDERANDO O MATERIAL DA PROPRIA ESCAVACAO,INCLUSIVE FORNECIMENTO DOMATERIAL P/REJUNTAMENTO COM ARGAMASSA DE CIMENTO E AREIA,NOTRACO 1:4 E ACERTO DE FUNDO DE VALA.FORNECIMENTO E ASSENT.</t>
  </si>
  <si>
    <t>759,00m</t>
  </si>
  <si>
    <t>04.04</t>
  </si>
  <si>
    <t>06.004.0100-A</t>
  </si>
  <si>
    <t>TUBO DE CONCRETO ARMADO,CLASSE PA-2,CONFORME ABNT NBR 8890,PARA GALERIAS DE AGUAS PLUVIAIS,COM DIAMETRO DE 800MM,ATERROE SOCA ATE A ALTURA DA GERATRIZ SUPERIOR DO TUBO,CONSIDERANDO O MATERIAL DA PROPRIA ESCAVACAO,INCLUSIVE FORNECIMENTO DOMATERIAL P/REJUNTAMENTO COM ARGAMASSA DE CIMENTO E AREIA,NOTRACO 1:4 E ACERTO DE FUNDO DE VALA.FORNECIMENTO E ASSENT.</t>
  </si>
  <si>
    <t>566,00m</t>
  </si>
  <si>
    <t>04.05</t>
  </si>
  <si>
    <t>06.004.0104-A</t>
  </si>
  <si>
    <t>TUBO DE CONCRETO ARMADO,CLASSE PA-2,CONFORME ABNT NBR 8890,PARA GALERIAS DE AGUAS PLUVIAIS,COM DIAMETRO DE 1000MM,ATERROE SOCA ATE A ALTURA DA GERATRIZ SUPERIOR DO TUBO,CONSIDERANDO O MATERIAL DA PROPRIA ESCAVACAO,INCLUSIVE FORNECIMENTO DOMATERIAL P/REJUNTAMENTO COM ARGAMASSA DE CIMENTO E AREIA,NO TRACO 1:4 E ACERTO DE FUNDO DE VALA.FORNECIMENTO E ASSENT.</t>
  </si>
  <si>
    <t>350,00m</t>
  </si>
  <si>
    <t>04.06</t>
  </si>
  <si>
    <t>06.004.0110-A</t>
  </si>
  <si>
    <t>TUBO DE CONCRETO ARMADO,CLASSE PA-2,CONFORME ABNT NBR 8890,PARA GALERIAS DE AGUAS PLUVIAIS,COM DIAMETRO DE 1500MM,ATERROE SOCA ATE A ALTURA DA GERATRIZ SUPERIOR DO TUBO,CONSIDERANDO O MATERIAL DA PROPRIA ESCAVACAO,INCLUSIVE FORNECIMENTO DOMATERIAL P/REJUNTAMENTO COM ARGAMASSA DE CIMENTO E AREIA,NOTRACO 1:4 E ACERTO DE FUNDO DE VALA.FORNECIMENTO E ASSENT.</t>
  </si>
  <si>
    <t>197,00m</t>
  </si>
  <si>
    <t>04.07</t>
  </si>
  <si>
    <t>06.015.0010-A</t>
  </si>
  <si>
    <t>POCO DE VISITA EM ALVENARIA DE BLOCOS DE CONCRETO(20X20X40CM),PAREDES 0,20M DE ESP.C/1,20X1,20X1,40M,P/COLETOR AGUAS PLUVIAIS 0,40 A 0,70M DE DIAM.UTILIZANDO ARG.CIM.AREIA,TRACO 1:4,SENDO PAREDES CHAPISCADAS E REVESTIDAS INTERNAMENTE C/ARG.,ENCHIMENTO BLOCOS E BASE EM CONCRETO SIMPLES,TAMPA DE CONCR.ARMADO,DEGRAUS FERRO FUNDIDO,INCL.FORN.TODOS OS MATERIAIS</t>
  </si>
  <si>
    <t>23 un.</t>
  </si>
  <si>
    <t>04.08</t>
  </si>
  <si>
    <t>06.015.0012-A</t>
  </si>
  <si>
    <t>POCO DE VISITA EM ALVENARIA DE BLOCOS DE CONCRETO(20X20X40CM),PAREDES DE 0,20M DE ESP.C/1,40X1,40X1,50M,P/COLETOR AGUASPLUVIAIS DE 0,90M DE DIAM.UTILIZ.ARG.CIM.AREIA,TRACO 1:4,SENDO PAREDES CHAPISCADAS E REVESTIDAS INTERNAMENTE C/ARG.ENCHIMENTO DOS BLOCOS E BASE EM CONCRETO SIMPLES,TAMPA CONCRETO ARMADO,DEGRAU FERRO FUNDIDO,INCL.FORN.DE TODOS OS MATERIAIS</t>
  </si>
  <si>
    <t>2 un.</t>
  </si>
  <si>
    <t>04.09</t>
  </si>
  <si>
    <t>06.015.0013-A</t>
  </si>
  <si>
    <t>POCO DE VISITA EM ALVENARIA DE BLOCOS DE CONCRETO(20X20X40CM),EM PAREDES DE 0,20M DE ESP.C/1,50X1,50X1,60M,P/COLETOR DEAGUAS PLUVIAIS DE 1,00M DE DIAM.SENDO AS PAREDES CHAPISCADASE REVESTIDAS INTERNAMENTE C/ARGAMASSA,ENCHIMENTO DOS BLOCOSE BASE EM CONCRETO SIMPLES,TAMPA DE CONCRETO ARMADO,DEGRAUSDE FERRO FUNDIDO,INCL.FORNECIMENTO DE TODOS OS MATERIAIS</t>
  </si>
  <si>
    <t>7 un.</t>
  </si>
  <si>
    <t>04.10</t>
  </si>
  <si>
    <t>06.015.0014-A</t>
  </si>
  <si>
    <t>POCO DE VISITA EM ALVENARIA DE BLOCOS DE CONCRETO(20X20X40CM),EM PAREDES DE 0,20M DE ESP.C/1,60X1,60X1,70M,P/COLETOR DEAGUAS PLUVIAIS DE 1,10M DE DIAM.SENDO AS PAREDES CHAPISCADASE REVESTIDAS INTERNAMENTE C/ARGAMASSA,ENCHIMENTO DOS BLOCOSE BASE EM CONCRETO SIMPLES,TAMPA DE CONCRETO ARMADO,DEGRAUSDE FERRO FUNDIDO,INCL.FORNECIMENTO DE TODOS OS MATERIAIS</t>
  </si>
  <si>
    <t>04.11</t>
  </si>
  <si>
    <t>06.015.0015-A</t>
  </si>
  <si>
    <t>POCO DE VISITA EM ALVENARIA DE BLOCOS DE CONCRETO(20X20X40CM),EM PAREDES DE 0,20M DE ESP.C/1,70X1,70X1,80M,P/COLETOR DEAGUAS PLUVIAIS DE 1,20M DE DIAM.SENDO AS PAREDES CHAPISCADASE REVESTIDAS INTERNAMENTE C/ARGAMASSA,ENCHIMENTO DOS BLOCOSE BASE EM CONCRETO SIMPLES,TAMPA DE CONCRETO ARMADO,DEGRAUSDE FERRO FUNDIDO,INCL.FORNECIMENTO DE TODOS OS MATERIAIS</t>
  </si>
  <si>
    <t>16 un.</t>
  </si>
  <si>
    <t>04.12</t>
  </si>
  <si>
    <t>06.015.0016-A</t>
  </si>
  <si>
    <t>POCO DE VISITA EM ALVENARIA DE BLOCOS DE CONCRETO(20X20X40CM),EM PAREDES DE 0,20M DE ESP.C/2,00X2,00X2,10M,P/COLETOR DEAGUAS PLUVIAIS DE 1,50M DE DIAM.SENDO AS PAREDES CHAPISCADASE REVESTIDAS INTERNAMENTE C/ARGAMASSA,ENCHIMENTO DOS BLOCOSE BASE EM CONCRETO SIMPLES,TAMPA DE CONCRETO ARMADO,DEGRAUSDE FERRO FUNDIDO,INCL.FORNECIMENTO DE TODOS OS MATERIAIS</t>
  </si>
  <si>
    <t>20 un.</t>
  </si>
  <si>
    <t>04.13</t>
  </si>
  <si>
    <t>06.012.0204-A</t>
  </si>
  <si>
    <t>POCO DE VISITA DE CONCRETO ARMADO COM MEDIDAS INTERNAS DO POCO E PROFUNDIDADE DE 1,10X1,10X2,40M,E DIAMETRO DA GALERIA DE ATE 0,60M,TENDO O CONCRETO DAS PAREDES,FUNDO E TAMPA 400KGE O DA BASE,CALHA E BANQUETA 300KG DE CIMENTO POR M3,SENDOAS PAREDES,CALHA E A BANQUETA REVESTIDAS COM ARGAMASSA,EXCLUSIVE TAMPAO DE FERRO FUNDIDO</t>
  </si>
  <si>
    <t>4 un.</t>
  </si>
  <si>
    <t>04.14</t>
  </si>
  <si>
    <t>06.012.0236-A</t>
  </si>
  <si>
    <t>POCO DE VISITA DE CONCRETO ARMADO COM MEDIDAS INTERNAS DO POCO E PROFUNDIDADE DE 1,30X1,30X2,40M,E DIAMETRO DA GALERIA DE 0,80M,TENDO O CONCRETO DAS PAREDES,FUNDO E TAMPA 400KG E ODA BASE,CALHA E BANQUETA 300KG DE CIMENTO POR M3,SENDO AS PAREDES,CALHA E A BANQUETA REVESTIDAS COM ARGAMASSA,EXCLUSIVETAMPAO DE FERRO FUNDIDO</t>
  </si>
  <si>
    <t>04.15</t>
  </si>
  <si>
    <t>06.012.0237-A</t>
  </si>
  <si>
    <t>POCO DE VISITA DE CONCRETO ARMADO COM MEDIDAS INTERNAS DO POCO E PROFUNDIDADE DE 1,30X1,30X2,70M,E DIAMETRO DA GALEIRA DE 0,80M,TENDO O CONCRETO DAS PAREDES,FUNDO E TAMPA 400KG E ODA BASE,CALHA E BANQUETA 300KG DE CIMENTO POR M3,SENDO AS PAREDES,CALHA E A BANQUETA REVESTIDAS COM ARGAMASSA,EXCLUSIVETAMPAO DE FERRO FUNDIDO</t>
  </si>
  <si>
    <t>04.16</t>
  </si>
  <si>
    <t>06.012.0267-A</t>
  </si>
  <si>
    <t>POCO DE VISITA DE CONCRETO ARMADO COM MEDIDAS INTERNAS DO POCO E PROFUNDIDADE DE 1,50X1,50X2,70M,E DIAMETRO DA GALERIA DE 1,00M,TENDO O CONCRETO DAS PAREDES,FUNDO E TAMPA 400KG E ODA BASE,CALHA E BANQUETA 300KG DE CIMENTO POR M3,SENDO AS PAREDES,CALHA E A BANQUETA REVESTIDAS COM ARGAMASSA,EXCLUSIVETAMPAO DE FERRO FUNDIDO</t>
  </si>
  <si>
    <t>04.17</t>
  </si>
  <si>
    <t>06.012.0375-A</t>
  </si>
  <si>
    <t>POCO DE VISITA DE CONCRETO ARMADO COM MEDIDAS INTERNAS DO POCO E PROFUNDIDADE DE 2,00X2,00X2,70M,E DIAMETRO DA GALERIA DE 1,50M,TENDO O CONCRETO DAS PAREDES,FUNDO E TAMPA 400KG E ODA BASE,CALHA E BANQUETA 300KG DE CIMENTO POR M3,SENDO AS PAREDES,CALHA E A BANQUETA REVESTIDAS COM ARGAMASSA,EXCLUSIVETAMPAO DE FERRO FUNDIDO</t>
  </si>
  <si>
    <t>04.18</t>
  </si>
  <si>
    <t>06.012.0379-A</t>
  </si>
  <si>
    <t>POCO DE VISITA DE CONCRETO ARMADO COM MEDIDAS INTERNAS DO POCO E PROFUNDIDADE DE 2,00X2,00X3,30M,E DIAMETRO DA GALERIA DE 1,50M,TENDO O CONCRETO DAS PAREDES,FUNDO E TAMPA 400KG E ODA BASE,CALHA E BANQUETA 300KG DE CIMENTO POR M3,SENDO AS PAREDES,CALHA E A BANQUETA REVESTIDAS COM ARGAMASSA,EXCLUSIVETAMPAO DE FERRO FUNDIDO</t>
  </si>
  <si>
    <t>3 un.</t>
  </si>
  <si>
    <t>04.19</t>
  </si>
  <si>
    <t>06.012.0381-A</t>
  </si>
  <si>
    <t>POCO DE VISITA DE CONCRETO ARMADO COM MEDIDAS INTERNAS DO POCO E PROFUNDIDADE DE 2,00X2,00X3,60M,E DIAMETRO DA GALERIA DE 1,50M,TENDO O CONCRETO DAS PAREDES,FUNDO E TAMPA 400KG E ODA BASE,CALHA E BANQUETA 300KG DE CIMENTO POR M3,SENDO AS PAREDES,CALHA E A BANQUETA REVESTIDAS COM ARGAMASSA,EXCLUSIVETAMPAO DE FERRO FUNDIDO</t>
  </si>
  <si>
    <t>04.20</t>
  </si>
  <si>
    <t>06.016.0003-A</t>
  </si>
  <si>
    <t>TAMPAO COMPLETO DE FERRO FUNDIDO,COM 225KG,PARA POCO DE VISITA OU CAIXA DE AREIA,PADRAO CEDAE TIPO K-240,CLASSE 300,ASSENTADO COM ARGAMASSA DE CIMENTO E AREIA,NO TRACO 1:4 EM VOLUME.FORNECIMENTO E ASSENTAMENTO</t>
  </si>
  <si>
    <t>84 un.</t>
  </si>
  <si>
    <t>04.21</t>
  </si>
  <si>
    <t>03.001.0001-B</t>
  </si>
  <si>
    <t>ESCAVACAO MANUAL DE VALA/CAVA EM MATERIAL DE 1ª CATEGORIA (A(AREIA,ARGILA OU PICARRA),ATE 1,50M DE PROFUNDIDADE,EXCLUSIVE ESCORAMENTO E ESGOTAMENTO</t>
  </si>
  <si>
    <t>175un x (1m x 0,5m x 1m) + (84un) x 2m x 2m x 2m</t>
  </si>
  <si>
    <t>04.22</t>
  </si>
  <si>
    <t>03.020.0080-B</t>
  </si>
  <si>
    <t>ESCAVACAO MECANICA DE VALA ESCORADA,EM MATERIAL DE 1ªCATEGORIA,ATE 1,50M DE PROFUNDIDADE,UTILIZANDO ESCAVADEIRA HIDRAULICA DE 0,78M3,EXCLUSIVE ESGOTAMENTO E ESCORAMENTO</t>
  </si>
  <si>
    <t>(1.615,50m x 1m x 1,5m) + (759m x 1,2m x 1,5m) + (566m x 1,5m x 1,5m) + (350*2*1,5)+(197*2,5*1,5)</t>
  </si>
  <si>
    <t>04.23</t>
  </si>
  <si>
    <t>03.020.0085-B</t>
  </si>
  <si>
    <t>ESCAVACAO MECANICA DE VALA ESCORADA,EM MATERIAL DE 1ªCATEGORIA,ENTRE 1,50 E 3,00M DE PROFUNDIDADE,UTILIZANDO ESCAVADEIRAHIDRAULICA DE 0,78M3,EXCLUSIVE ESGOTAMENTO E ESCORAMENTO</t>
  </si>
  <si>
    <t>(759*1,2*1,5)+(566*1,5*1,5)+(350*2*1,5)+(197*2,5*1,5)</t>
  </si>
  <si>
    <t>04.24</t>
  </si>
  <si>
    <t>03.020.0090-B</t>
  </si>
  <si>
    <t>ESCAVACAO MECANICA DE VALA ESCORADA,EM MATERIAL DE 1ªCATEGORIA,ENTRE 3,00 E 4,50M DE PROFUNDIDADE,UTILIZANDO ESCAVADEIRAHIDRAULICA DE 0,78M3,EXCLUSIVE ESGOTAMENTO E ESCORAMENTO</t>
  </si>
  <si>
    <t>197m x 2,5m x 1m</t>
  </si>
  <si>
    <t>04.25</t>
  </si>
  <si>
    <t>03.014.0005-A</t>
  </si>
  <si>
    <t>REATERRO DE VALA/CAVA,ESPALHAMENTO COM RETRO-ESCAVADEIRA E COMPACTACAO VIBRATORIA,EXCLUSIVE MATERIAL</t>
  </si>
  <si>
    <t>(423,50m3 + 6.851,70m3 + 4.428,45m3 + 492,50m3) x 80%</t>
  </si>
  <si>
    <t>04.26</t>
  </si>
  <si>
    <t>(87,50+854,54+280,68+2,9)-980,49)m3 x 1,25 (empolamento) x 1,4t/m3 x 10km</t>
  </si>
  <si>
    <t>05.0</t>
  </si>
  <si>
    <t>ESGOTO / ÁGUA POTÁVEL</t>
  </si>
  <si>
    <t>05.01</t>
  </si>
  <si>
    <t>06.203.0081-A</t>
  </si>
  <si>
    <t>TUBO DE POLIETILENO DE ALTA DENSIDADE(PEAD),RESINA PE80/100,NORMA ISO 4427, CLASSE PN-16, DE=20MM. FORNECIMENTO</t>
  </si>
  <si>
    <t>500,00m</t>
  </si>
  <si>
    <t>05.02</t>
  </si>
  <si>
    <t>06.203.0082-A</t>
  </si>
  <si>
    <t>TUBO DE POLIETILENO DE ALTA DENSIDADE(PEAD),RESINA PE80/100,NORMA ISO 4427, CLASSE PN-16, DE=25MM. FORNECIMENTO</t>
  </si>
  <si>
    <t>05.03</t>
  </si>
  <si>
    <t>06.270.0020-A</t>
  </si>
  <si>
    <t>TUBO PVC-PBA,CLASSE 20(EB-183),PARA ADUCAO E DISTRIBUICAO DEAGUAS,COM DIAMETRO NOMINAL DE  50MM,INCLUSIVE ANEL DE BORRACHA. FORNECIMENTO</t>
  </si>
  <si>
    <t>2.000,00m</t>
  </si>
  <si>
    <t>05.04</t>
  </si>
  <si>
    <t>06.001.0250-A</t>
  </si>
  <si>
    <t>ASSENTAMENTO DE TUBULACAO DE PVC RIGIDO,COM JUNTA ELASTICA,COM DIAMETRO NOMINAL DE 50MM,COMPREENDENDO CARGA E DESCARGA,ACERTO DE FUNDO DE VALA,COLOCACAO NA VALA,MONTAGEM E REATERROATE A GERATRIZ SUPERIOR DO TUBO CONSIDERANDO MATERIAL DA PROPRIA ESCAVACAO E TESTE HIDROSTATICO,EXCLUSIVE TUBO E JUNTAELASTICA</t>
  </si>
  <si>
    <t>05.05</t>
  </si>
  <si>
    <t>06.270.0021-A</t>
  </si>
  <si>
    <t>TUBO PVC-PBA,CLASSE 20(EB-183),PARA ADUCAO E DISTRIBUICAO DEAGUAS,COM DIAMETRO NOMINAL DE  75MM,INCLUSIVE ANEL DE BORRACHA. FORNECIMENTO</t>
  </si>
  <si>
    <t>1.000,00m</t>
  </si>
  <si>
    <t>05.06</t>
  </si>
  <si>
    <t>06.001.0251-A</t>
  </si>
  <si>
    <t>ASSENTAMENTO DE TUBULACAO DE PVC RIGIDO,COM JUNTA ELASTICA,COM DIAMETRO NOMINAL DE 75MM,COMPREENDENDO CARGA E DESCARGA,ACERTO DE FUNDO DE VALA,COLOCACAO NA VALA,MONTAGEM E REATERROATE A GERATRIZ SUPERIOR DO TUBO CONSIDERANDO O MATERIAL DAPROPRIA ESCAVACAO E TESTE HIDROSTATICO,EXCLUSIVE TUBO E JUNTA ELASTICA</t>
  </si>
  <si>
    <t>05.07</t>
  </si>
  <si>
    <t>06.272.0002-A</t>
  </si>
  <si>
    <t>TUBO PVC,CONFORME ABNT NBR-7362,PARA ESGOTO SANITARIO,COM DIAMETRO NOMINAL DE 100MM,INCLUSIVE ANEL DE BORRACHA.FORNECIMENTO</t>
  </si>
  <si>
    <t>05.08</t>
  </si>
  <si>
    <t>06.272.0003-A</t>
  </si>
  <si>
    <t>TUBO PVC,CONFORME ABNT NBR-7362,PARA ESGOTO SANITARIO,COM DIAMETRO NOMINAL DE 150MM,INCLUSIVE ANEL DE BORRACHA.FORNECIMENTO</t>
  </si>
  <si>
    <t>05.09</t>
  </si>
  <si>
    <t>06.272.0004-A</t>
  </si>
  <si>
    <t>TUBO PVC,CONFORME ABNT NBR-7362,PARA ESGOTO SANITARIO,COM DIAMETRO NOMINAL DE 200MM,INCLUSIVE ANEL DE BORRACHA.FORNECIMENTO</t>
  </si>
  <si>
    <t>05.10</t>
  </si>
  <si>
    <t>06.001.0242-A</t>
  </si>
  <si>
    <t>ASSENTAMENTO DE TUBULACAO DE PVC,COM JUNTA ELASTICA,PARA COLETOR DE ESGOTOS,COM DIAMETRO NOMINAL DE 100MM,ATERRO E SOCAATE A ALTURA DA GERATRIZ SUPERIOR DO TUBO,CONSIDERANDO O MATERIAL DA PROPRIA ESCAVACAO,EXCLUSIVE TUBO E JUNTA</t>
  </si>
  <si>
    <t>05.11</t>
  </si>
  <si>
    <t>06.001.0243-A</t>
  </si>
  <si>
    <t>ASSENTAMENTO DE TUBULACAO DE PVC,COM JUNTA ELASTICA,PARA COLETOR DE ESGOTOS,COM DIAMETRO NOMINAL DE 150MM,ATERRO E SOCAATE A ALTURA DA GERATRIZ SUPERIOR DO TUBO,CONSIDERANDO O MATERIAL DA PROPRIA ESCAVACAO,EXCLUSIVE TUBO E JUNTA</t>
  </si>
  <si>
    <t>2000,00 m</t>
  </si>
  <si>
    <t>05.12</t>
  </si>
  <si>
    <t>06.001.0244-A</t>
  </si>
  <si>
    <t>ASSENTAMENTO DE TUBULACAO DE PVC,COM JUNTA ELASTICA,PARA COLETOR DE ESGOTOS,COM DIAMETRO NOMINAL DE 200MM,ATERRO E SOCAATE A ALTURA DA GERATRIZ SUPERIOR DO TUBO,CONSIDERANDO O MATERIAL DA PROPRIA ESCAVACAO,EXCLUSIVE TUBO E JUNTA</t>
  </si>
  <si>
    <t>1.000,00 m</t>
  </si>
  <si>
    <t>05.13</t>
  </si>
  <si>
    <t>06.270.0081-A</t>
  </si>
  <si>
    <t>LUVA DE CORRER PVC-PBA,CONFORME ABNT NBR 10351,COM DIAMETRONOMINAL DE 50MM,INCLUSIVE ANEIS DE BORRACHA. FORNECIMENTO</t>
  </si>
  <si>
    <t>200 un.</t>
  </si>
  <si>
    <t>05.14</t>
  </si>
  <si>
    <t>06.270.0082-A</t>
  </si>
  <si>
    <t>LUVA DE CORRER PVC-PBA,CONFORME ABNT NBR 10351,COM DIAMETRONOMINAL DE 75MM, INCLUSIVE ANEIS DE BORRACHA. FORNECIMENTO</t>
  </si>
  <si>
    <t>05.15</t>
  </si>
  <si>
    <t>06.272.0035-A</t>
  </si>
  <si>
    <t>SELIM ELASTICO DE PVC PARA LIGACAO PREDIAL DE REDE DE ESGOTO,CONFORME ABNT NBR 10569,DE 150MMX100MM,INCLUSIVE ANEL DE BORRACHA.FORNECIMENTO</t>
  </si>
  <si>
    <t>05.16</t>
  </si>
  <si>
    <t>05.105.0110-A</t>
  </si>
  <si>
    <t>MAO-DE-OBRA DE BOMBEIRO HIDRAULICO,INCLUSIVE ENCARGOS SOCIAIS</t>
  </si>
  <si>
    <t>6 meses</t>
  </si>
  <si>
    <t>05.17</t>
  </si>
  <si>
    <t>05.105.0115-A</t>
  </si>
  <si>
    <t>MAO-DE-OBRA DE AJUDANTE,INCLUSIVE ENCARGOS SOCIAIS</t>
  </si>
  <si>
    <t>05.18</t>
  </si>
  <si>
    <t>02.011.0010-A</t>
  </si>
  <si>
    <t>CERCA PROTETORA DE BORDA DE VALA OU OBRA,COM TELA PLASTICA NA COR LARANJA OU AMARELA,CONSIDERANDO 2 VEZES DE UTILIZACAO,INCLUSIVE APOIOS,FORNECIMENTO,COLOCACAO E RETIRADA</t>
  </si>
  <si>
    <t>4.000m x 1,2m</t>
  </si>
  <si>
    <t>05.19</t>
  </si>
  <si>
    <t>93356 (SINAPI)</t>
  </si>
  <si>
    <t>COLETOR PREDIAL DE ESGOTO, DA CAIXA ATÉ A REDE (DISTÂNCIA = 6 M, LARGURA DA VALA = 0,65 M), INCLUINDO ESCAVAÇÃO MECANIZADA, PREPARO DE FUNDO DE VALA E REATERRO COM COMPACTAÇÃO MECANIZADA, TUBO PVC P/ REDE COLETORA ESGOTO JEI DN 100 MM E CONEXÕES - FORNECIMENTO E INSTALAÇÃO. AF_03/2016</t>
  </si>
  <si>
    <t>574,29</t>
  </si>
  <si>
    <t>150 un.</t>
  </si>
  <si>
    <t>05.20</t>
  </si>
  <si>
    <t>06.017.0005-A</t>
  </si>
  <si>
    <t>POCO DE VISITA,DE ANEIS DE CONCRETO PRE-MOLDADOS,PARA ESGOTOS SANITARIOS,SEGUNDO ESPECIFICACOES DA CEDAE,INCLUSIVE DEGRAUS,EXCLUSIVE TAMPAO DE FERRO FUNDIDO,COM PROFUNDIDADE DE 1,20M</t>
  </si>
  <si>
    <t>8 un.</t>
  </si>
  <si>
    <t>05.21</t>
  </si>
  <si>
    <t>06.017.0006-A</t>
  </si>
  <si>
    <t>POCO DE VISITA,DE ANEIS DE CONCRETO PRE-MOLDADOS,PARA ESGOTOS SANITARIOS,SEGUNDO ESPECIFICACOES DA CEDAE,INCLUSIVE DEGRAUS,EXCLUSIVE TAMPAO DE FERRO FUNDIDO,COM PROFUNDIDADE DE 1,40M</t>
  </si>
  <si>
    <t>10 un.</t>
  </si>
  <si>
    <t>05.22</t>
  </si>
  <si>
    <t>06.017.0008-A</t>
  </si>
  <si>
    <t>POCO DE VISITA,DE ANEIS DE CONCRETO PRE-MOLDADOS,PARA ESGOTOS SANITARIOS,SEGUNDO ESPECIFICACOES DA CEDAE,INCLUSIVE DEGRAUS,EXCLUSIVE TAMPAO DE FERRO FUNDIDO,COM PROFUNDIDADE DE 1,60M</t>
  </si>
  <si>
    <t>12 un.</t>
  </si>
  <si>
    <t>05.23</t>
  </si>
  <si>
    <t>06.017.0010-A</t>
  </si>
  <si>
    <t>POCO DE VISITA,DE ANEIS DE CONCRETO PRE-MOLDADOS,PARA ESGOTOS SANITARIOS,SEGUNDO ESPECIFICACOES DA CEDAE,INCLUSIVE DEGRAUS,EXCLUSIVE TAMPAO DE FERRO FUNDIDO,COM PROFUNDIDADE DE 2,00M</t>
  </si>
  <si>
    <t>05.24</t>
  </si>
  <si>
    <t>06.017.0012-A</t>
  </si>
  <si>
    <t>POCO DE VISITA,DE ANEIS DE CONCRETO PRE-MOLDADOS,PARA ESGOTOS SANITARIOS,SEGUNDO ESPECIFICACOES DA CEDAE,INCLUSIVE DEGRAUS,EXCLUSIVE TAMPAO DE FERRO FUNDIDO,COM PROFUNDIDADE DE 2,60M</t>
  </si>
  <si>
    <t>05.25</t>
  </si>
  <si>
    <t>06.017.0014-A</t>
  </si>
  <si>
    <t>POCO DE VISITA,DE ANEIS DE CONCRETO PRE-MOLDADOS,PARA ESGOTOS SANITARIOS,SEGUNDO ESPECIFICACOES DA CEDAE,INCLUSIVE DEGRAUS,EXCLUSIVE TAMPAO DE FERRO FUNDIDO,COM PROFUNDIDADE DE 3,20M</t>
  </si>
  <si>
    <t>05.26</t>
  </si>
  <si>
    <t>06.017.0016-A</t>
  </si>
  <si>
    <t>POCO DE VISITA,DE ANEIS DE CONCRETO PRE-MOLDADOS,PARA ESGOTOS SANITARIOS,SEGUNDO ESPECIFICACOES DA CEDAE,INCLUSIVE DEGRAUS,EXCLUSIVE TAMPAO DE FERRO FUNDIDO,COM PROFUNDIDADE DE 3,80M</t>
  </si>
  <si>
    <t>6 un.</t>
  </si>
  <si>
    <t>05.27</t>
  </si>
  <si>
    <t>06.017.0018-A</t>
  </si>
  <si>
    <t>POCO DE VISITA,DE ANEIS DE CONCRETO PRE-MOLDADOS,PARA ESGOTOS SANITARIOS,SEGUNDO ESPECIFICACOES DA CEDAE,INCLUSIVE DEGRAUS,EXCLUSIVE TAMPAO DE FERRO FUNDIDO,COM PROFUNDIDADE DE 4,40M</t>
  </si>
  <si>
    <t>05.28</t>
  </si>
  <si>
    <t>68 un.</t>
  </si>
  <si>
    <t>05.29</t>
  </si>
  <si>
    <t>7042 (SINAPI)</t>
  </si>
  <si>
    <t>MOTOBOMBA TRASH (PARA ÁGUA SUJA) AUTO ESCORVANTE, MOTOR GASOLINA DE 6,41 HP, DIÂMETROS DE SUCÇÃO X RECALQUE: 3" X 3", HM/Q = 10 MCA / 60 M3/H A 23 MCA / 0 M3/H - CHP DIURNO. AF_10/2014</t>
  </si>
  <si>
    <t>CHP</t>
  </si>
  <si>
    <t>31,07</t>
  </si>
  <si>
    <t>8h/dia x 22dias/mês x 6meses x 2un</t>
  </si>
  <si>
    <t>05.30</t>
  </si>
  <si>
    <t>(68un) x 1,2m x 1,2m x 1m</t>
  </si>
  <si>
    <t>05.31</t>
  </si>
  <si>
    <t>(2000 + 1000)m x 0,3m x 0,6m + (500 + 2000 + 1000)m x 0,6m x 1,2m</t>
  </si>
  <si>
    <t>05.32</t>
  </si>
  <si>
    <t>(500 + 2000 + 1000)  x 0,6m x 1,5m x 30%</t>
  </si>
  <si>
    <t>05.33</t>
  </si>
  <si>
    <t>05.34</t>
  </si>
  <si>
    <t>(72,00+3.690,00+945,00+945,00)m3 x 90%</t>
  </si>
  <si>
    <t>05.35</t>
  </si>
  <si>
    <t>(72,00+3060,00+945,00+945,00)-4.519,80)m3 x 1,25 (empolamento) x 1,4t/m3 x 10km</t>
  </si>
  <si>
    <t>06.0</t>
  </si>
  <si>
    <t>CONFECÇÃO DE LAGO PARA DESAGUE DA REDE DE DRENAGEM</t>
  </si>
  <si>
    <t>06.01</t>
  </si>
  <si>
    <t>03.021.0005-B</t>
  </si>
  <si>
    <t>ESCAVACAO MECANICA,A CEU ABERTO,EM MATERIAL DE 1ªCATEGORIA,UTILIZANDO ESCAVADEIRA HIDRAULICA DE 0,78M3</t>
  </si>
  <si>
    <t>30m x 60m x1m</t>
  </si>
  <si>
    <t>06.02</t>
  </si>
  <si>
    <t>03.030.0159-A</t>
  </si>
  <si>
    <t>ESCAVACAO MECANICA,A CEU ABERTO,DE MATERIAL DE 1ªCATEGORIA,UTILIZANDO ESCAVADEIRA,SOBRE ESTEIRAS,VERSAO CLAM-SHELL,COM CACAMBA E 0,96M3(1.1/4JD3)</t>
  </si>
  <si>
    <t>30m x 60m x2m</t>
  </si>
  <si>
    <t>06.03</t>
  </si>
  <si>
    <t>03.036.0200-A</t>
  </si>
  <si>
    <t>ESCAVACAO EM LEITO DE RIO OU CANAL(DRAGAGEM)DE MATERIAL MOLE,ATE 4,50M DE PROFUNDIDADE,MEDIDA A PARTIR DO PLANO DE ESTACIONAMENTO DA MAQUINA,UTILIZANDO ESCAVADEIRA SOBRE ESTEIRAS,VERSAO DRAG-LINE,COM CACAMBA DE 0,57M3(3/4JD3)</t>
  </si>
  <si>
    <t>06.04</t>
  </si>
  <si>
    <t>03.020.0200-A</t>
  </si>
  <si>
    <t>ESCAVACAO MECANICA,PARA ACERTO DE TALUDES,EM MATERIAL DE 1ªCATEGORIA,UTILIZANDO ESCAVADEIRA HIDRAULICA DE 0,78M3</t>
  </si>
  <si>
    <t>1200m x 1,5m x 1,0m</t>
  </si>
  <si>
    <t>06.05</t>
  </si>
  <si>
    <t>05.035.0006-A</t>
  </si>
  <si>
    <t>CERCA CONSTRUIDA COM MOUROES CURVOS DE CONCRETO ARMADO,ALTURA DE 2,90M MAIS 0,44M DE PONTA INCLINADA,ESPACOS DE 3,00M,CRAVADOS 0,50M NO SOLO,COM 11 FIOS CORRIDOS DE ARAME LISO GALVANIZADO Nº 12.FORNECIMENTO E COLOCACAO</t>
  </si>
  <si>
    <t>50m + 50m + 100m + 100m</t>
  </si>
  <si>
    <t>06.06</t>
  </si>
  <si>
    <t>09.001.0020-A</t>
  </si>
  <si>
    <t>PLANTIO DE GRAMA EM PLACAS TIPO ESMERALDA,INCLUSIVE FORNECIMENTO DA GRAMA E TRANSPORTE,EXCLUSIVE PREPARO DO TERRENO E OMATERIAL PARA ESTE</t>
  </si>
  <si>
    <t>100m x 2m</t>
  </si>
  <si>
    <t>06.07</t>
  </si>
  <si>
    <t>(3.600 + 1.800 + 1.800) m3 x 1,25 (empolamento) x 1,4t/m3 x 10km</t>
  </si>
  <si>
    <t>14.002.0084-A</t>
  </si>
  <si>
    <t>PORTAO EM ESTRUTURA DE TUBOS DE FERRO GALVANIZADO DE 1" E 1.1/2",COM DUAS FOLHAS DE ABRIR,FECHAMENTO COM TELA DE ARAME GALVANIZADO Nº12,MALHA 2",EXCLUSIVE FECHADURA.FORNECIMENTO ECOLOCACAO</t>
  </si>
  <si>
    <t>4m x 2m</t>
  </si>
  <si>
    <t>07.0</t>
  </si>
  <si>
    <t>SINALIZAÇÃO</t>
  </si>
  <si>
    <t>07.01</t>
  </si>
  <si>
    <t>05.015.0070-A</t>
  </si>
  <si>
    <t>PLACA DE SINALIZACAO DE RODOVIAS,EM CHAPA DE ACO Nº16,TRATADA QUIMICAMENTE,INCLUSIVE PINTURA COM METAL PRIMER NAS DUAS FACES E ESMALTE SINTETICO PRETO NO VERSO.APLICACAO DE PELICULAS REFLETIVAS NO GRAU TECNICO,GRAU ALTA INTENSIDADE E PELICULA PARA LEGENDA FIXADO EM UM OU DOIS POSTES DE MADEIRA DE LEI.FORNECIMENTO E COLOCACAO</t>
  </si>
  <si>
    <t>300un x (0,6m x 0,6m)</t>
  </si>
  <si>
    <t>07.02</t>
  </si>
  <si>
    <t>05.020.0020-A</t>
  </si>
  <si>
    <t>SINALIZACAO HORIZONTAL,MECANICA,COM TINTA A BASE DE RESINA ACRILICA,EM VIAS URBANAS,CONFORME ABNT NBR 12935 E NORMA DNIT100/2018-ES.</t>
  </si>
  <si>
    <t>1000m2</t>
  </si>
  <si>
    <t>07.03</t>
  </si>
  <si>
    <t>05.020.0025-A</t>
  </si>
  <si>
    <t>SINALIZACAO MANUAL DE FAIXAS E FIGURAS PARA PEDESTRES,COM TINTA A BASE DE RESINA ACRILICA,EM VIAS RODOVIARIAS,COM UTILIZACAO DE PISTOLA PNEUMATICA(SPRAY),CONFORME ABNT NBR 12935,13132,7396 E NORMA DNIT 100/2018-ES.</t>
  </si>
  <si>
    <t>5000m2</t>
  </si>
  <si>
    <t>07.04</t>
  </si>
  <si>
    <t>05.021.0075-A</t>
  </si>
  <si>
    <t>TACHAO BIDIRECIONAL,MEDINDO 230X125X45MM, SEUS REFLETORES CONTEM 50 ESFERAS DE VIDRO LAPIDADO E ESPELHADO,INCRUSTADOS EM"ABS",NAS CORES BRANCA E AMARELA.FORNECIMENTO E COLOCACAO</t>
  </si>
  <si>
    <t>1000un</t>
  </si>
  <si>
    <t>08.0</t>
  </si>
  <si>
    <t>SERVIÇOS DIVERSOS</t>
  </si>
  <si>
    <t>08.01</t>
  </si>
  <si>
    <t>11.013.0105-A</t>
  </si>
  <si>
    <t>CONCRETO ARMADO,FCK=25MPA,INCLUINDO MATERIAIS PARA 1,00M3 DECONCRETO(IMPORTADO DE USINA)ADENSADO E COLOCADO,12,00M2 DEAREA MOLDADA,FORMAS E ESCORAMENTO CONFORME ITENS 11.004.0022E 11.004.0035,80KG DE ACO CA-50,INCLUINDO MAO-DE-OBRA PARACORTE,DOBRAGEM,MONTAGEM E COLOCACAO NAS FORMAS</t>
  </si>
  <si>
    <t>5,00 m3</t>
  </si>
  <si>
    <t>08.02</t>
  </si>
  <si>
    <t>12.005.0015-A</t>
  </si>
  <si>
    <t>ALVENARIA DE BLOCOS DE CONCRETO 10X20X40CM,ASSENTES COM ARGAMASSA DE CIMENTO E AREIA,NO TRACO 1:8,EM PAREDES DE 0,10M DEESPESSURA,COM VAOS OU ARESTAS,ATE 3,00M DE ALTURA E MEDIDA PELA AREA REAL</t>
  </si>
  <si>
    <t>100m x 2,00m</t>
  </si>
  <si>
    <t>08.03</t>
  </si>
  <si>
    <t>12.003.0080-0</t>
  </si>
  <si>
    <t>ALVENARIA DE TIJOLOS CERAMICOS FURADOS 10X20X20CM,ASSENTES COM ARGAMASSA DE CIMENTO E SAIBRO,NO TRACO 1:8,EM PAREDES DEMEIA VEZ(0,10M)COM VAOS OU ARESTAS,ATE 3,00M DE ALTURA E MEDIDA PELA AREA REAL</t>
  </si>
  <si>
    <t>08.04</t>
  </si>
  <si>
    <t>13.002.0011-B</t>
  </si>
  <si>
    <t>REVESTIMENTO EXTERNO,DE UMA VEZ,COM ARGAMASSA DE CIMENTO,SAIBRO MACIO E AREIA FINA,NO TRACO 1:3:3,COM ESPESSURA DE 2,5CM,INCLUSIVE CHAPISCO DE CIMENTO E AREIA,NO TRACO 1:3</t>
  </si>
  <si>
    <t>100m x 2m x 2lados+ 100m x 0,15m</t>
  </si>
  <si>
    <t>08.05</t>
  </si>
  <si>
    <t>17.018.0080-0</t>
  </si>
  <si>
    <t>PINTURA COM TINTA LATEX,CLASSIFICACAO STANDARD,CONFORME ABNTNBR 15079,PARA EXTERIOR,INCLUSIVE LIXAMENTOS,LIMPEZA,UMA DEMAO DE SELADOR ACRILICO E DUAS DEMAOS DE ACABAMENTO</t>
  </si>
  <si>
    <t>09.0</t>
  </si>
  <si>
    <t xml:space="preserve">LIMPEZA </t>
  </si>
  <si>
    <t>09.01</t>
  </si>
  <si>
    <t>04.014.0095-A</t>
  </si>
  <si>
    <t>RETIRADA DE ENTULHO DE OBRA COM CACAMBA DE ACO TIPO CONTAINER COM 5M3 DE CAPACIDADE,INCLUSIVE CARREGAMENTO,TRANSPORTE EDESCARREGAMENTO.CUSTO POR UNIDADE DE CACAMBA E INCLUI A TAXA PARA DESCARGA EM LOCAIS AUTORIZADOS</t>
  </si>
  <si>
    <t>5un</t>
  </si>
  <si>
    <t>Parcial</t>
  </si>
  <si>
    <t>BDI 18,58%</t>
  </si>
  <si>
    <t>Total Geral: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</si>
</sst>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0%"/>
    <numFmt numFmtId="166" formatCode="_(* #,##0.00_);_(* \(#,##0.00\);_(* \-??_);_(@_)"/>
    <numFmt numFmtId="167" formatCode="* #,##0.00\ ;* \(#,##0.00\);* \-#\ ;@\ "/>
    <numFmt numFmtId="168" formatCode="0.00"/>
    <numFmt numFmtId="169" formatCode="&quot;R$&quot;#,##0.00"/>
    <numFmt numFmtId="170" formatCode="0.00%"/>
    <numFmt numFmtId="171" formatCode="0"/>
    <numFmt numFmtId="172" formatCode="@"/>
    <numFmt numFmtId="173" formatCode="#,##0.00"/>
    <numFmt numFmtId="174" formatCode="&quot;B.D.I. (&quot;0.00&quot;%)&quot;"/>
  </numFmts>
  <fonts count="26">
    <font>
      <sz val="11"/>
      <color rgb="FF000000"/>
      <name val="Calibri"/>
      <family val="2"/>
    </font>
    <font>
      <sz val="10"/>
      <name val="Arial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80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0"/>
      <color rgb="FF808000"/>
      <name val="Arial"/>
      <family val="2"/>
    </font>
    <font>
      <sz val="10"/>
      <color rgb="FF333333"/>
      <name val="Arial"/>
      <family val="2"/>
    </font>
    <font>
      <sz val="11"/>
      <color rgb="FF000000"/>
      <name val="Arial"/>
      <family val="2"/>
    </font>
    <font>
      <b/>
      <sz val="8"/>
      <color rgb="FF000000"/>
      <name val="Arial"/>
      <family val="2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sz val="8"/>
      <color rgb="FF000000"/>
      <name val="Arial"/>
      <family val="2"/>
    </font>
    <font>
      <sz val="7"/>
      <name val="Arial"/>
      <family val="2"/>
    </font>
    <font>
      <sz val="20"/>
      <name val="Arial"/>
      <family val="2"/>
    </font>
    <font>
      <sz val="18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sz val="7.5"/>
      <color rgb="FF000000"/>
      <name val="Arial"/>
      <family val="2"/>
    </font>
    <font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 style="thin"/>
      <bottom style="thin"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5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2" borderId="0" applyBorder="0" applyProtection="0">
      <alignment/>
    </xf>
    <xf numFmtId="164" fontId="2" fillId="2" borderId="0">
      <alignment/>
      <protection hidden="1"/>
    </xf>
    <xf numFmtId="164" fontId="2" fillId="3" borderId="0" applyBorder="0" applyProtection="0">
      <alignment/>
    </xf>
    <xf numFmtId="164" fontId="2" fillId="3" borderId="0">
      <alignment/>
      <protection hidden="1"/>
    </xf>
    <xf numFmtId="164" fontId="3" fillId="4" borderId="0" applyBorder="0" applyProtection="0">
      <alignment/>
    </xf>
    <xf numFmtId="164" fontId="3" fillId="4" borderId="0">
      <alignment/>
      <protection hidden="1"/>
    </xf>
    <xf numFmtId="164" fontId="3" fillId="0" borderId="0">
      <alignment/>
      <protection hidden="1"/>
    </xf>
    <xf numFmtId="164" fontId="3" fillId="0" borderId="0" applyBorder="0" applyProtection="0">
      <alignment/>
    </xf>
    <xf numFmtId="164" fontId="4" fillId="5" borderId="0" applyBorder="0" applyProtection="0">
      <alignment/>
    </xf>
    <xf numFmtId="164" fontId="4" fillId="5" borderId="0">
      <alignment/>
      <protection hidden="1"/>
    </xf>
    <xf numFmtId="164" fontId="5" fillId="6" borderId="0" applyBorder="0" applyProtection="0">
      <alignment/>
    </xf>
    <xf numFmtId="164" fontId="5" fillId="6" borderId="0">
      <alignment/>
      <protection hidden="1"/>
    </xf>
    <xf numFmtId="164" fontId="6" fillId="0" borderId="0" applyBorder="0" applyProtection="0">
      <alignment/>
    </xf>
    <xf numFmtId="164" fontId="6" fillId="0" borderId="0">
      <alignment/>
      <protection hidden="1"/>
    </xf>
    <xf numFmtId="164" fontId="7" fillId="7" borderId="0" applyBorder="0" applyProtection="0">
      <alignment/>
    </xf>
    <xf numFmtId="164" fontId="7" fillId="7" borderId="0">
      <alignment/>
      <protection hidden="1"/>
    </xf>
    <xf numFmtId="164" fontId="8" fillId="0" borderId="0">
      <alignment/>
      <protection hidden="1"/>
    </xf>
    <xf numFmtId="164" fontId="9" fillId="0" borderId="0" applyBorder="0" applyProtection="0">
      <alignment/>
    </xf>
    <xf numFmtId="164" fontId="9" fillId="0" borderId="0">
      <alignment/>
      <protection hidden="1"/>
    </xf>
    <xf numFmtId="164" fontId="10" fillId="0" borderId="0" applyBorder="0" applyProtection="0">
      <alignment/>
    </xf>
    <xf numFmtId="164" fontId="10" fillId="0" borderId="0">
      <alignment/>
      <protection hidden="1"/>
    </xf>
    <xf numFmtId="164" fontId="8" fillId="0" borderId="0" applyBorder="0" applyProtection="0">
      <alignment/>
    </xf>
    <xf numFmtId="164" fontId="11" fillId="0" borderId="0" applyBorder="0" applyProtection="0">
      <alignment/>
    </xf>
    <xf numFmtId="164" fontId="12" fillId="8" borderId="0" applyBorder="0" applyProtection="0">
      <alignment/>
    </xf>
    <xf numFmtId="164" fontId="12" fillId="8" borderId="0">
      <alignment/>
      <protection hidden="1"/>
    </xf>
    <xf numFmtId="164" fontId="1" fillId="0" borderId="0">
      <alignment/>
      <protection hidden="1"/>
    </xf>
    <xf numFmtId="164" fontId="0" fillId="0" borderId="0">
      <alignment/>
      <protection hidden="1"/>
    </xf>
    <xf numFmtId="164" fontId="1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1" fillId="0" borderId="0">
      <alignment/>
      <protection hidden="1"/>
    </xf>
    <xf numFmtId="164" fontId="0" fillId="0" borderId="0">
      <alignment/>
      <protection hidden="1"/>
    </xf>
    <xf numFmtId="164" fontId="11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11" fillId="8" borderId="1">
      <alignment/>
      <protection hidden="1"/>
    </xf>
    <xf numFmtId="164" fontId="13" fillId="8" borderId="2" applyProtection="0">
      <alignment/>
    </xf>
    <xf numFmtId="164" fontId="13" fillId="8" borderId="2">
      <alignment/>
      <protection hidden="1"/>
    </xf>
    <xf numFmtId="165" fontId="1" fillId="0" borderId="0" applyBorder="0" applyProtection="0">
      <alignment/>
    </xf>
    <xf numFmtId="164" fontId="1" fillId="0" borderId="0" applyBorder="0" applyProtection="0">
      <alignment/>
    </xf>
    <xf numFmtId="164" fontId="14" fillId="0" borderId="0">
      <alignment/>
      <protection hidden="1"/>
    </xf>
    <xf numFmtId="164" fontId="1" fillId="0" borderId="0" applyBorder="0" applyProtection="0">
      <alignment/>
    </xf>
    <xf numFmtId="164" fontId="14" fillId="0" borderId="0">
      <alignment/>
      <protection hidden="1"/>
    </xf>
    <xf numFmtId="166" fontId="0" fillId="0" borderId="0" applyBorder="0" applyProtection="0">
      <alignment/>
    </xf>
    <xf numFmtId="167" fontId="1" fillId="0" borderId="0" applyBorder="0" applyProtection="0">
      <alignment/>
    </xf>
    <xf numFmtId="164" fontId="4" fillId="0" borderId="0" applyBorder="0" applyProtection="0">
      <alignment/>
    </xf>
    <xf numFmtId="164" fontId="4" fillId="0" borderId="0">
      <alignment/>
      <protection hidden="1"/>
    </xf>
    <xf numFmtId="164" fontId="15" fillId="0" borderId="0" applyBorder="0" applyProtection="0">
      <alignment/>
    </xf>
  </cellStyleXfs>
  <cellXfs count="86">
    <xf numFmtId="164" fontId="0" fillId="0" borderId="0" xfId="0" applyAlignment="1" applyProtection="1">
      <alignment/>
      <protection hidden="1"/>
    </xf>
    <xf numFmtId="164" fontId="16" fillId="9" borderId="0" xfId="84" applyFont="1" applyBorder="1" applyAlignment="1" applyProtection="1">
      <alignment horizontal="center" vertical="center"/>
      <protection hidden="1"/>
    </xf>
    <xf numFmtId="164" fontId="17" fillId="9" borderId="0" xfId="84" applyFont="1" applyBorder="1" applyAlignment="1" applyProtection="1">
      <alignment horizontal="center" vertical="center"/>
      <protection hidden="1"/>
    </xf>
    <xf numFmtId="164" fontId="17" fillId="9" borderId="0" xfId="84" applyFont="1" applyBorder="1" applyAlignment="1" applyProtection="1">
      <alignment horizontal="justify" vertical="center" wrapText="1"/>
      <protection hidden="1"/>
    </xf>
    <xf numFmtId="164" fontId="17" fillId="9" borderId="0" xfId="84" applyFont="1" applyBorder="1" applyAlignment="1" applyProtection="1">
      <alignment horizontal="center" vertical="center"/>
      <protection hidden="1"/>
    </xf>
    <xf numFmtId="168" fontId="17" fillId="9" borderId="0" xfId="84" applyFont="1" applyBorder="1" applyAlignment="1" applyProtection="1">
      <alignment horizontal="center" vertical="center"/>
      <protection hidden="1"/>
    </xf>
    <xf numFmtId="169" fontId="17" fillId="9" borderId="0" xfId="84" applyFont="1" applyBorder="1" applyAlignment="1" applyProtection="1">
      <alignment horizontal="center" vertical="center"/>
      <protection hidden="1"/>
    </xf>
    <xf numFmtId="164" fontId="18" fillId="0" borderId="0" xfId="84" applyFont="1" applyBorder="1" applyAlignment="1" applyProtection="1">
      <alignment vertical="top"/>
      <protection hidden="1"/>
    </xf>
    <xf numFmtId="164" fontId="17" fillId="9" borderId="0" xfId="84" applyFont="1" applyBorder="1" applyAlignment="1" applyProtection="1">
      <alignment vertical="center"/>
      <protection hidden="1"/>
    </xf>
    <xf numFmtId="170" fontId="19" fillId="9" borderId="0" xfId="84" applyFont="1" applyBorder="1" applyAlignment="1" applyProtection="1">
      <alignment vertical="center"/>
      <protection hidden="1"/>
    </xf>
    <xf numFmtId="171" fontId="20" fillId="0" borderId="0" xfId="61" applyFont="1" applyBorder="1" applyAlignment="1" applyProtection="1">
      <alignment horizontal="center" vertical="top"/>
      <protection hidden="1"/>
    </xf>
    <xf numFmtId="171" fontId="21" fillId="0" borderId="0" xfId="61" applyFont="1" applyBorder="1" applyAlignment="1" applyProtection="1">
      <alignment horizontal="center" vertical="top"/>
      <protection hidden="1"/>
    </xf>
    <xf numFmtId="164" fontId="22" fillId="0" borderId="0" xfId="61" applyFont="1" applyBorder="1" applyAlignment="1" applyProtection="1">
      <alignment horizontal="justify"/>
      <protection hidden="1"/>
    </xf>
    <xf numFmtId="164" fontId="22" fillId="0" borderId="0" xfId="61" applyFont="1" applyBorder="1" applyAlignment="1" applyProtection="1">
      <alignment horizontal="center"/>
      <protection hidden="1"/>
    </xf>
    <xf numFmtId="164" fontId="22" fillId="0" borderId="0" xfId="61" applyFont="1" applyBorder="1" applyAlignment="1" applyProtection="1">
      <alignment horizontal="center"/>
      <protection hidden="1"/>
    </xf>
    <xf numFmtId="171" fontId="22" fillId="0" borderId="0" xfId="61" applyFont="1" applyBorder="1" applyAlignment="1" applyProtection="1">
      <alignment horizontal="center" vertical="top"/>
      <protection hidden="1"/>
    </xf>
    <xf numFmtId="172" fontId="23" fillId="0" borderId="0" xfId="61" applyFont="1" applyBorder="1" applyAlignment="1" applyProtection="1">
      <alignment horizontal="justify" vertical="center" wrapText="1"/>
      <protection hidden="1"/>
    </xf>
    <xf numFmtId="171" fontId="1" fillId="0" borderId="0" xfId="61" applyFont="1" applyBorder="1" applyAlignment="1" applyProtection="1">
      <alignment horizontal="justify" vertical="top"/>
      <protection hidden="1"/>
    </xf>
    <xf numFmtId="164" fontId="1" fillId="0" borderId="0" xfId="61" applyFont="1" applyBorder="1" applyAlignment="1" applyProtection="1">
      <alignment horizontal="center" vertical="top"/>
      <protection hidden="1"/>
    </xf>
    <xf numFmtId="171" fontId="1" fillId="0" borderId="0" xfId="61" applyFont="1" applyBorder="1" applyAlignment="1" applyProtection="1">
      <alignment horizontal="center" vertical="top"/>
      <protection hidden="1"/>
    </xf>
    <xf numFmtId="164" fontId="24" fillId="0" borderId="0" xfId="84" applyFont="1" applyBorder="1" applyAlignment="1" applyProtection="1">
      <alignment vertical="center"/>
      <protection hidden="1"/>
    </xf>
    <xf numFmtId="164" fontId="24" fillId="0" borderId="0" xfId="84" applyFont="1" applyBorder="1" applyAlignment="1" applyProtection="1">
      <alignment vertical="center"/>
      <protection hidden="1"/>
    </xf>
    <xf numFmtId="164" fontId="17" fillId="0" borderId="0" xfId="84" applyFont="1" applyBorder="1" applyAlignment="1" applyProtection="1">
      <alignment horizontal="center" vertical="center"/>
      <protection hidden="1"/>
    </xf>
    <xf numFmtId="164" fontId="17" fillId="0" borderId="0" xfId="84" applyFont="1" applyBorder="1" applyAlignment="1" applyProtection="1">
      <alignment horizontal="justify" vertical="center" wrapText="1"/>
      <protection hidden="1"/>
    </xf>
    <xf numFmtId="164" fontId="17" fillId="0" borderId="0" xfId="84" applyFont="1" applyBorder="1" applyAlignment="1" applyProtection="1">
      <alignment horizontal="center" vertical="center"/>
      <protection hidden="1"/>
    </xf>
    <xf numFmtId="168" fontId="17" fillId="0" borderId="0" xfId="84" applyFont="1" applyBorder="1" applyAlignment="1" applyProtection="1">
      <alignment horizontal="center" vertical="center"/>
      <protection hidden="1"/>
    </xf>
    <xf numFmtId="169" fontId="17" fillId="0" borderId="0" xfId="84" applyFont="1" applyBorder="1" applyAlignment="1" applyProtection="1">
      <alignment horizontal="center" vertical="center"/>
      <protection hidden="1"/>
    </xf>
    <xf numFmtId="164" fontId="24" fillId="0" borderId="0" xfId="84" applyFont="1" applyBorder="1" applyAlignment="1" applyProtection="1">
      <alignment horizontal="right" vertical="center"/>
      <protection hidden="1"/>
    </xf>
    <xf numFmtId="172" fontId="11" fillId="0" borderId="3" xfId="84" applyFont="1" applyBorder="1" applyAlignment="1" applyProtection="1">
      <alignment horizontal="center" vertical="center"/>
      <protection hidden="1"/>
    </xf>
    <xf numFmtId="172" fontId="11" fillId="0" borderId="3" xfId="84" applyFont="1" applyBorder="1" applyAlignment="1" applyProtection="1">
      <alignment horizontal="center" vertical="center" wrapText="1"/>
      <protection hidden="1"/>
    </xf>
    <xf numFmtId="172" fontId="11" fillId="0" borderId="3" xfId="84" applyFont="1" applyBorder="1" applyAlignment="1" applyProtection="1">
      <alignment horizontal="justify" vertical="center" wrapText="1"/>
      <protection hidden="1"/>
    </xf>
    <xf numFmtId="164" fontId="11" fillId="0" borderId="3" xfId="84" applyFont="1" applyBorder="1" applyAlignment="1" applyProtection="1">
      <alignment horizontal="center" vertical="center"/>
      <protection hidden="1"/>
    </xf>
    <xf numFmtId="168" fontId="11" fillId="0" borderId="4" xfId="84" applyFont="1" applyBorder="1" applyAlignment="1" applyProtection="1">
      <alignment horizontal="center" vertical="center"/>
      <protection hidden="1"/>
    </xf>
    <xf numFmtId="172" fontId="11" fillId="0" borderId="5" xfId="84" applyFont="1" applyBorder="1" applyAlignment="1" applyProtection="1">
      <alignment horizontal="center" vertical="center" wrapText="1"/>
      <protection hidden="1"/>
    </xf>
    <xf numFmtId="164" fontId="18" fillId="0" borderId="6" xfId="84" applyFont="1" applyBorder="1" applyAlignment="1" applyProtection="1">
      <alignment horizontal="center" vertical="center" wrapText="1"/>
      <protection hidden="1"/>
    </xf>
    <xf numFmtId="164" fontId="17" fillId="0" borderId="0" xfId="84" applyFont="1" applyBorder="1" applyAlignment="1" applyProtection="1">
      <alignment horizontal="center" vertical="center" wrapText="1"/>
      <protection hidden="1"/>
    </xf>
    <xf numFmtId="164" fontId="17" fillId="0" borderId="0" xfId="84" applyFont="1" applyBorder="1" applyAlignment="1" applyProtection="1">
      <alignment horizontal="center" vertical="center" wrapText="1"/>
      <protection hidden="1"/>
    </xf>
    <xf numFmtId="168" fontId="17" fillId="0" borderId="0" xfId="84" applyFont="1" applyBorder="1" applyAlignment="1" applyProtection="1">
      <alignment horizontal="center" vertical="center" wrapText="1"/>
      <protection hidden="1"/>
    </xf>
    <xf numFmtId="169" fontId="17" fillId="0" borderId="0" xfId="84" applyFont="1" applyBorder="1" applyAlignment="1" applyProtection="1">
      <alignment horizontal="center" vertical="center" wrapText="1"/>
      <protection hidden="1"/>
    </xf>
    <xf numFmtId="164" fontId="18" fillId="0" borderId="0" xfId="84" applyFont="1" applyBorder="1" applyAlignment="1" applyProtection="1">
      <alignment vertical="top" wrapText="1"/>
      <protection hidden="1"/>
    </xf>
    <xf numFmtId="164" fontId="17" fillId="9" borderId="0" xfId="84" applyFont="1" applyBorder="1" applyAlignment="1" applyProtection="1">
      <alignment vertical="center" wrapText="1"/>
      <protection hidden="1"/>
    </xf>
    <xf numFmtId="170" fontId="19" fillId="9" borderId="0" xfId="84" applyFont="1" applyBorder="1" applyAlignment="1" applyProtection="1">
      <alignment vertical="center" wrapText="1"/>
      <protection hidden="1"/>
    </xf>
    <xf numFmtId="164" fontId="11" fillId="0" borderId="7" xfId="84" applyFont="1" applyBorder="1" applyAlignment="1" applyProtection="1">
      <alignment horizontal="center" vertical="center" wrapText="1"/>
      <protection hidden="1"/>
    </xf>
    <xf numFmtId="164" fontId="11" fillId="0" borderId="7" xfId="84" applyFont="1" applyBorder="1" applyAlignment="1" applyProtection="1">
      <alignment horizontal="justify" vertical="center" wrapText="1"/>
      <protection hidden="1"/>
    </xf>
    <xf numFmtId="164" fontId="11" fillId="0" borderId="7" xfId="84" applyFont="1" applyBorder="1" applyAlignment="1" applyProtection="1">
      <alignment horizontal="center" vertical="center" wrapText="1"/>
      <protection hidden="1"/>
    </xf>
    <xf numFmtId="168" fontId="11" fillId="0" borderId="7" xfId="84" applyFont="1" applyBorder="1" applyAlignment="1" applyProtection="1">
      <alignment horizontal="center" vertical="center" wrapText="1"/>
      <protection hidden="1"/>
    </xf>
    <xf numFmtId="173" fontId="11" fillId="0" borderId="7" xfId="84" applyFont="1" applyBorder="1" applyAlignment="1" applyProtection="1">
      <alignment horizontal="center" vertical="center" wrapText="1"/>
      <protection hidden="1"/>
    </xf>
    <xf numFmtId="173" fontId="11" fillId="0" borderId="7" xfId="61" applyFont="1" applyBorder="1" applyAlignment="1" applyProtection="1">
      <alignment horizontal="center" vertical="center" wrapText="1"/>
      <protection hidden="1"/>
    </xf>
    <xf numFmtId="164" fontId="18" fillId="9" borderId="0" xfId="84" applyFont="1" applyBorder="1" applyAlignment="1" applyProtection="1">
      <alignment vertical="center" wrapText="1"/>
      <protection hidden="1"/>
    </xf>
    <xf numFmtId="170" fontId="25" fillId="9" borderId="0" xfId="84" applyFont="1" applyBorder="1" applyAlignment="1" applyProtection="1">
      <alignment vertical="center" wrapText="1"/>
      <protection hidden="1"/>
    </xf>
    <xf numFmtId="164" fontId="18" fillId="0" borderId="0" xfId="84" applyFont="1" applyBorder="1" applyAlignment="1" applyProtection="1">
      <alignment horizontal="center" vertical="top" wrapText="1"/>
      <protection hidden="1"/>
    </xf>
    <xf numFmtId="164" fontId="25" fillId="0" borderId="0" xfId="61" applyFont="1" applyAlignment="1" applyProtection="1">
      <alignment horizontal="center" vertical="top"/>
      <protection hidden="1"/>
    </xf>
    <xf numFmtId="173" fontId="18" fillId="0" borderId="0" xfId="84" applyFont="1" applyBorder="1" applyAlignment="1" applyProtection="1">
      <alignment horizontal="justify" vertical="top" wrapText="1"/>
      <protection hidden="1"/>
    </xf>
    <xf numFmtId="164" fontId="18" fillId="0" borderId="0" xfId="84" applyFont="1" applyBorder="1" applyAlignment="1" applyProtection="1">
      <alignment horizontal="center" vertical="top" wrapText="1"/>
      <protection hidden="1"/>
    </xf>
    <xf numFmtId="173" fontId="18" fillId="0" borderId="0" xfId="84" applyFont="1" applyBorder="1" applyAlignment="1" applyProtection="1">
      <alignment horizontal="center" vertical="top" wrapText="1"/>
      <protection hidden="1"/>
    </xf>
    <xf numFmtId="173" fontId="18" fillId="0" borderId="0" xfId="84" applyFont="1" applyBorder="1" applyAlignment="1" applyProtection="1">
      <alignment vertical="top" wrapText="1"/>
      <protection hidden="1"/>
    </xf>
    <xf numFmtId="164" fontId="25" fillId="0" borderId="0" xfId="61" applyFont="1" applyAlignment="1" applyProtection="1">
      <alignment vertical="top"/>
      <protection hidden="1"/>
    </xf>
    <xf numFmtId="164" fontId="17" fillId="9" borderId="0" xfId="84" applyFont="1" applyBorder="1" applyAlignment="1" applyProtection="1">
      <alignment horizontal="center" vertical="center" wrapText="1"/>
      <protection hidden="1"/>
    </xf>
    <xf numFmtId="173" fontId="25" fillId="0" borderId="0" xfId="84" applyFont="1" applyBorder="1" applyAlignment="1" applyProtection="1">
      <alignment horizontal="justify" vertical="top" wrapText="1"/>
      <protection hidden="1"/>
    </xf>
    <xf numFmtId="164" fontId="25" fillId="0" borderId="0" xfId="84" applyFont="1" applyBorder="1" applyAlignment="1" applyProtection="1">
      <alignment horizontal="center" vertical="top" wrapText="1"/>
      <protection hidden="1"/>
    </xf>
    <xf numFmtId="173" fontId="25" fillId="0" borderId="0" xfId="84" applyFont="1" applyBorder="1" applyAlignment="1" applyProtection="1">
      <alignment horizontal="center" vertical="top" wrapText="1"/>
      <protection hidden="1"/>
    </xf>
    <xf numFmtId="173" fontId="25" fillId="0" borderId="0" xfId="84" applyFont="1" applyBorder="1" applyAlignment="1" applyProtection="1">
      <alignment vertical="top" wrapText="1"/>
      <protection hidden="1"/>
    </xf>
    <xf numFmtId="164" fontId="19" fillId="9" borderId="0" xfId="84" applyFont="1" applyBorder="1" applyAlignment="1" applyProtection="1">
      <alignment vertical="center" wrapText="1"/>
      <protection hidden="1"/>
    </xf>
    <xf numFmtId="164" fontId="25" fillId="0" borderId="0" xfId="84" applyFont="1" applyBorder="1" applyAlignment="1" applyProtection="1">
      <alignment horizontal="center" vertical="top" wrapText="1"/>
      <protection hidden="1"/>
    </xf>
    <xf numFmtId="164" fontId="18" fillId="0" borderId="0" xfId="84" applyFont="1" applyBorder="1" applyAlignment="1" applyProtection="1">
      <alignment horizontal="justify" vertical="top" wrapText="1"/>
      <protection hidden="1"/>
    </xf>
    <xf numFmtId="164" fontId="25" fillId="0" borderId="0" xfId="61" applyFont="1" applyAlignment="1" applyProtection="1">
      <alignment horizontal="left" vertical="top" wrapText="1"/>
      <protection hidden="1"/>
    </xf>
    <xf numFmtId="164" fontId="25" fillId="0" borderId="0" xfId="84" applyFont="1" applyBorder="1" applyAlignment="1" applyProtection="1">
      <alignment horizontal="justify" vertical="top" wrapText="1"/>
      <protection hidden="1"/>
    </xf>
    <xf numFmtId="164" fontId="25" fillId="0" borderId="0" xfId="84" applyFont="1" applyBorder="1" applyAlignment="1" applyProtection="1">
      <alignment vertical="top" wrapText="1"/>
      <protection hidden="1"/>
    </xf>
    <xf numFmtId="164" fontId="18" fillId="0" borderId="7" xfId="84" applyFont="1" applyBorder="1" applyAlignment="1" applyProtection="1">
      <alignment horizontal="center" vertical="top" wrapText="1"/>
      <protection hidden="1"/>
    </xf>
    <xf numFmtId="164" fontId="25" fillId="0" borderId="7" xfId="61" applyFont="1" applyBorder="1" applyAlignment="1" applyProtection="1">
      <alignment vertical="top"/>
      <protection hidden="1"/>
    </xf>
    <xf numFmtId="164" fontId="18" fillId="0" borderId="7" xfId="84" applyFont="1" applyBorder="1" applyAlignment="1" applyProtection="1">
      <alignment horizontal="justify" vertical="top" wrapText="1"/>
      <protection hidden="1"/>
    </xf>
    <xf numFmtId="164" fontId="18" fillId="0" borderId="7" xfId="84" applyFont="1" applyBorder="1" applyAlignment="1" applyProtection="1">
      <alignment horizontal="center" vertical="top" wrapText="1"/>
      <protection hidden="1"/>
    </xf>
    <xf numFmtId="173" fontId="18" fillId="0" borderId="7" xfId="84" applyFont="1" applyBorder="1" applyAlignment="1" applyProtection="1">
      <alignment horizontal="justify" vertical="top" wrapText="1"/>
      <protection hidden="1"/>
    </xf>
    <xf numFmtId="173" fontId="18" fillId="0" borderId="7" xfId="84" applyFont="1" applyBorder="1" applyAlignment="1" applyProtection="1">
      <alignment horizontal="center" vertical="top" wrapText="1"/>
      <protection hidden="1"/>
    </xf>
    <xf numFmtId="173" fontId="25" fillId="0" borderId="0" xfId="61" applyFont="1" applyBorder="1" applyAlignment="1" applyProtection="1">
      <alignment horizontal="center" vertical="top"/>
      <protection hidden="1"/>
    </xf>
    <xf numFmtId="173" fontId="18" fillId="0" borderId="0" xfId="61" applyFont="1" applyBorder="1" applyAlignment="1" applyProtection="1">
      <alignment horizontal="left" vertical="top"/>
      <protection hidden="1"/>
    </xf>
    <xf numFmtId="164" fontId="18" fillId="0" borderId="0" xfId="84" applyFont="1" applyBorder="1" applyAlignment="1" applyProtection="1">
      <alignment horizontal="justify" vertical="center" wrapText="1"/>
      <protection hidden="1"/>
    </xf>
    <xf numFmtId="169" fontId="18" fillId="0" borderId="8" xfId="84" applyFont="1" applyBorder="1" applyAlignment="1" applyProtection="1">
      <alignment horizontal="center" vertical="center"/>
      <protection hidden="1"/>
    </xf>
    <xf numFmtId="173" fontId="18" fillId="0" borderId="8" xfId="84" applyFont="1" applyBorder="1" applyAlignment="1" applyProtection="1">
      <alignment horizontal="center" vertical="center" wrapText="1"/>
      <protection hidden="1"/>
    </xf>
    <xf numFmtId="164" fontId="1" fillId="0" borderId="0" xfId="61" applyFont="1" applyAlignment="1" applyProtection="1">
      <alignment/>
      <protection hidden="1"/>
    </xf>
    <xf numFmtId="164" fontId="18" fillId="0" borderId="0" xfId="84" applyFont="1" applyBorder="1" applyAlignment="1" applyProtection="1">
      <alignment horizontal="center" vertical="center" wrapText="1"/>
      <protection hidden="1"/>
    </xf>
    <xf numFmtId="174" fontId="18" fillId="0" borderId="9" xfId="84" applyFont="1" applyBorder="1" applyAlignment="1" applyProtection="1">
      <alignment horizontal="center" vertical="center"/>
      <protection hidden="1"/>
    </xf>
    <xf numFmtId="173" fontId="18" fillId="0" borderId="9" xfId="84" applyFont="1" applyBorder="1" applyAlignment="1" applyProtection="1">
      <alignment horizontal="center" vertical="center" wrapText="1"/>
      <protection hidden="1"/>
    </xf>
    <xf numFmtId="173" fontId="18" fillId="0" borderId="0" xfId="61" applyFont="1" applyBorder="1" applyAlignment="1" applyProtection="1">
      <alignment horizontal="center" vertical="top" wrapText="1"/>
      <protection hidden="1"/>
    </xf>
    <xf numFmtId="173" fontId="25" fillId="0" borderId="0" xfId="61" applyFont="1" applyBorder="1" applyAlignment="1" applyProtection="1">
      <alignment vertical="center" wrapText="1"/>
      <protection hidden="1"/>
    </xf>
    <xf numFmtId="169" fontId="18" fillId="0" borderId="9" xfId="84" applyFont="1" applyBorder="1" applyAlignment="1" applyProtection="1">
      <alignment horizontal="center" vertical="center"/>
      <protection hidden="1"/>
    </xf>
  </cellXfs>
  <cellStyles count="5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ccent 1 1" xfId="34"/>
    <cellStyle name="Accent 1 2" xfId="35"/>
    <cellStyle name="Accent 2 1" xfId="36"/>
    <cellStyle name="Accent 2 2" xfId="37"/>
    <cellStyle name="Accent 3 1" xfId="38"/>
    <cellStyle name="Accent 3 2" xfId="39"/>
    <cellStyle name="Accent 4" xfId="40"/>
    <cellStyle name="Accent 5" xfId="41"/>
    <cellStyle name="Bad 1" xfId="42"/>
    <cellStyle name="Bad 2" xfId="43"/>
    <cellStyle name="Error 1" xfId="44"/>
    <cellStyle name="Error 2" xfId="45"/>
    <cellStyle name="Footnote 1" xfId="46"/>
    <cellStyle name="Footnote 2" xfId="47"/>
    <cellStyle name="Good 1" xfId="48"/>
    <cellStyle name="Good 2" xfId="49"/>
    <cellStyle name="Heading (user) 1" xfId="50"/>
    <cellStyle name="Heading 1 1" xfId="51"/>
    <cellStyle name="Heading 1 2" xfId="52"/>
    <cellStyle name="Heading 2 1" xfId="53"/>
    <cellStyle name="Heading 2 2" xfId="54"/>
    <cellStyle name="Heading 3" xfId="55"/>
    <cellStyle name="Moeda [0] 2" xfId="56"/>
    <cellStyle name="Neutral 1" xfId="57"/>
    <cellStyle name="Neutral 2" xfId="58"/>
    <cellStyle name="Normal 10" xfId="59"/>
    <cellStyle name="Normal 11" xfId="60"/>
    <cellStyle name="Normal 12" xfId="61"/>
    <cellStyle name="Normal 2" xfId="62"/>
    <cellStyle name="Normal 3" xfId="63"/>
    <cellStyle name="Normal 4" xfId="64"/>
    <cellStyle name="Normal 5" xfId="65"/>
    <cellStyle name="Normal 5 2" xfId="66"/>
    <cellStyle name="Normal 5 3" xfId="67"/>
    <cellStyle name="Normal 6" xfId="68"/>
    <cellStyle name="Normal 7" xfId="69"/>
    <cellStyle name="Normal 8" xfId="70"/>
    <cellStyle name="Normal 9" xfId="71"/>
    <cellStyle name="Nota 2" xfId="72"/>
    <cellStyle name="Note 1" xfId="73"/>
    <cellStyle name="Note 2" xfId="74"/>
    <cellStyle name="Porcentagem 2" xfId="75"/>
    <cellStyle name="Status 1" xfId="76"/>
    <cellStyle name="Status 2" xfId="77"/>
    <cellStyle name="Text 1" xfId="78"/>
    <cellStyle name="Text 2" xfId="79"/>
    <cellStyle name="Vírgula 2" xfId="80"/>
    <cellStyle name="Vírgula 3" xfId="81"/>
    <cellStyle name="Warning 1" xfId="82"/>
    <cellStyle name="Warning 2" xfId="83"/>
    <cellStyle name="Excel Built-in Explanatory Text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161925</xdr:rowOff>
    </xdr:from>
    <xdr:to>
      <xdr:col>1</xdr:col>
      <xdr:colOff>781050</xdr:colOff>
      <xdr:row>5</xdr:row>
      <xdr:rowOff>66675</xdr:rowOff>
    </xdr:to>
    <xdr:pic>
      <xdr:nvPicPr>
        <xdr:cNvPr id="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61925"/>
          <a:ext cx="1190625" cy="1133475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6"/>
  <sheetViews>
    <sheetView tabSelected="1" zoomScale="80" zoomScaleNormal="80" workbookViewId="0" topLeftCell="A1">
      <selection activeCell="D13" sqref="D13"/>
    </sheetView>
  </sheetViews>
  <sheetFormatPr defaultColWidth="9.140625" defaultRowHeight="15"/>
  <cols>
    <col min="1" max="1" width="7.7109375" style="1" customWidth="1"/>
    <col min="2" max="2" width="12.421875" style="2" customWidth="1"/>
    <col min="3" max="3" width="43.28125" style="3" customWidth="1"/>
    <col min="4" max="4" width="10.7109375" style="4" customWidth="1"/>
    <col min="5" max="5" width="9.28125" style="5" customWidth="1"/>
    <col min="6" max="6" width="10.00390625" style="6" customWidth="1"/>
    <col min="7" max="7" width="13.421875" style="6" customWidth="1"/>
    <col min="8" max="8" width="27.7109375" style="7" customWidth="1"/>
    <col min="9" max="11" width="9.140625" style="8" customWidth="1"/>
    <col min="12" max="12" width="9.140625" style="9" customWidth="1"/>
    <col min="13" max="250" width="9.140625" style="8" customWidth="1"/>
    <col min="251" max="251" width="7.7109375" style="8" customWidth="1"/>
    <col min="252" max="252" width="12.421875" style="8" customWidth="1"/>
    <col min="253" max="253" width="43.28125" style="8" customWidth="1"/>
    <col min="254" max="254" width="10.7109375" style="8" customWidth="1"/>
    <col min="255" max="255" width="9.28125" style="8" customWidth="1"/>
    <col min="256" max="256" width="10.00390625" style="8" customWidth="1"/>
    <col min="257" max="257" width="13.421875" style="8" customWidth="1"/>
    <col min="258" max="258" width="27.7109375" style="8" customWidth="1"/>
    <col min="259" max="259" width="10.28125" style="8" customWidth="1"/>
    <col min="260" max="260" width="9.140625" style="8" customWidth="1"/>
    <col min="261" max="261" width="8.28125" style="8" customWidth="1"/>
    <col min="262" max="506" width="9.140625" style="8" customWidth="1"/>
    <col min="507" max="507" width="7.7109375" style="8" customWidth="1"/>
    <col min="508" max="508" width="12.421875" style="8" customWidth="1"/>
    <col min="509" max="509" width="43.28125" style="8" customWidth="1"/>
    <col min="510" max="510" width="10.7109375" style="8" customWidth="1"/>
    <col min="511" max="511" width="9.28125" style="8" customWidth="1"/>
    <col min="512" max="512" width="10.00390625" style="8" customWidth="1"/>
    <col min="513" max="513" width="13.421875" style="8" customWidth="1"/>
    <col min="514" max="514" width="27.7109375" style="8" customWidth="1"/>
    <col min="515" max="515" width="10.28125" style="8" customWidth="1"/>
    <col min="516" max="516" width="9.140625" style="8" customWidth="1"/>
    <col min="517" max="517" width="8.28125" style="8" customWidth="1"/>
    <col min="518" max="762" width="9.140625" style="8" customWidth="1"/>
    <col min="763" max="763" width="7.7109375" style="8" customWidth="1"/>
    <col min="764" max="764" width="12.421875" style="8" customWidth="1"/>
    <col min="765" max="765" width="43.28125" style="8" customWidth="1"/>
    <col min="766" max="766" width="10.7109375" style="8" customWidth="1"/>
    <col min="767" max="767" width="9.28125" style="8" customWidth="1"/>
    <col min="768" max="768" width="10.00390625" style="8" customWidth="1"/>
    <col min="769" max="769" width="13.421875" style="8" customWidth="1"/>
    <col min="770" max="770" width="27.7109375" style="8" customWidth="1"/>
    <col min="771" max="771" width="10.28125" style="8" customWidth="1"/>
    <col min="772" max="772" width="9.140625" style="8" customWidth="1"/>
    <col min="773" max="773" width="8.28125" style="8" customWidth="1"/>
    <col min="774" max="1018" width="9.140625" style="8" customWidth="1"/>
    <col min="1019" max="1019" width="7.7109375" style="8" customWidth="1"/>
    <col min="1020" max="1020" width="12.421875" style="8" customWidth="1"/>
    <col min="1021" max="1021" width="43.28125" style="8" customWidth="1"/>
    <col min="1022" max="1022" width="10.7109375" style="8" customWidth="1"/>
    <col min="1023" max="1023" width="9.28125" style="8" customWidth="1"/>
    <col min="1024" max="1025" width="10.00390625" style="8" customWidth="1"/>
  </cols>
  <sheetData>
    <row r="1" spans="3:8" ht="24" customHeight="1">
      <c r="C1" s="10" t="s">
        <v>0</v>
      </c>
      <c r="D1" s="10"/>
      <c r="E1" s="10"/>
      <c r="F1" s="10"/>
      <c r="G1" s="10"/>
      <c r="H1" s="10"/>
    </row>
    <row r="2" ht="6.75" customHeight="1"/>
    <row r="3" spans="3:8" ht="24.75" customHeight="1">
      <c r="C3" s="11" t="s">
        <v>1</v>
      </c>
      <c r="D3" s="11"/>
      <c r="E3" s="11"/>
      <c r="F3" s="11"/>
      <c r="G3" s="11"/>
      <c r="H3" s="11"/>
    </row>
    <row r="4" spans="3:7" ht="9" customHeight="1">
      <c r="C4" s="12"/>
      <c r="D4" s="13"/>
      <c r="E4" s="14"/>
      <c r="F4" s="15"/>
      <c r="G4" s="15"/>
    </row>
    <row r="5" spans="3:8" ht="32.25" customHeight="1">
      <c r="C5" s="16" t="s">
        <v>2</v>
      </c>
      <c r="D5" s="16"/>
      <c r="E5" s="16"/>
      <c r="F5" s="16"/>
      <c r="G5" s="16"/>
      <c r="H5" s="16"/>
    </row>
    <row r="6" spans="3:7" ht="6" customHeight="1">
      <c r="C6" s="17"/>
      <c r="D6" s="18"/>
      <c r="E6" s="19"/>
      <c r="F6" s="19"/>
      <c r="G6" s="19"/>
    </row>
    <row r="7" spans="1:8" ht="9.75">
      <c r="A7" s="8"/>
      <c r="B7" s="20"/>
      <c r="C7" s="20"/>
      <c r="D7" s="21"/>
      <c r="E7" s="20"/>
      <c r="F7" s="20"/>
      <c r="G7" s="20"/>
      <c r="H7" s="20" t="s">
        <v>3</v>
      </c>
    </row>
    <row r="8" spans="1:8" ht="3.75" customHeight="1">
      <c r="A8" s="22"/>
      <c r="B8" s="22"/>
      <c r="C8" s="23"/>
      <c r="D8" s="24"/>
      <c r="E8" s="25"/>
      <c r="F8" s="26"/>
      <c r="G8" s="27"/>
      <c r="H8" s="20"/>
    </row>
    <row r="9" spans="1:8" ht="12.75" customHeight="1">
      <c r="A9" s="28" t="s">
        <v>4</v>
      </c>
      <c r="B9" s="29" t="s">
        <v>5</v>
      </c>
      <c r="C9" s="30" t="s">
        <v>6</v>
      </c>
      <c r="D9" s="31" t="s">
        <v>7</v>
      </c>
      <c r="E9" s="32" t="s">
        <v>8</v>
      </c>
      <c r="F9" s="28" t="s">
        <v>9</v>
      </c>
      <c r="G9" s="33" t="s">
        <v>10</v>
      </c>
      <c r="H9" s="34" t="s">
        <v>11</v>
      </c>
    </row>
    <row r="10" spans="1:12" s="40" customFormat="1" ht="11.25">
      <c r="A10" s="35"/>
      <c r="B10" s="35"/>
      <c r="C10" s="23"/>
      <c r="D10" s="36"/>
      <c r="E10" s="37"/>
      <c r="F10" s="38"/>
      <c r="G10" s="38"/>
      <c r="H10" s="39"/>
      <c r="L10" s="41"/>
    </row>
    <row r="11" spans="1:12" s="48" customFormat="1" ht="13.5">
      <c r="A11" s="42" t="s">
        <v>12</v>
      </c>
      <c r="B11" s="42"/>
      <c r="C11" s="43" t="s">
        <v>13</v>
      </c>
      <c r="D11" s="44"/>
      <c r="E11" s="45"/>
      <c r="F11" s="46"/>
      <c r="G11" s="46">
        <f>SUM(G12:G23)</f>
        <v>316535.45</v>
      </c>
      <c r="H11" s="47"/>
      <c r="L11" s="49"/>
    </row>
    <row r="12" spans="1:12" s="48" customFormat="1" ht="45">
      <c r="A12" s="50" t="s">
        <v>14</v>
      </c>
      <c r="B12" s="51" t="s">
        <v>15</v>
      </c>
      <c r="C12" s="52" t="s">
        <v>16</v>
      </c>
      <c r="D12" s="53" t="s">
        <v>17</v>
      </c>
      <c r="E12" s="54">
        <f>ROUND(2*3*2,2)</f>
        <v>12</v>
      </c>
      <c r="F12" s="54">
        <v>203.51</v>
      </c>
      <c r="G12" s="54">
        <f>ROUND(E12*F12,2)</f>
        <v>2442.12</v>
      </c>
      <c r="H12" s="55" t="s">
        <v>18</v>
      </c>
      <c r="L12" s="49">
        <f>ROUND(G12/$G$154,4)</f>
        <v>0.0002</v>
      </c>
    </row>
    <row r="13" spans="1:12" s="40" customFormat="1" ht="90" customHeight="1">
      <c r="A13" s="50" t="s">
        <v>19</v>
      </c>
      <c r="B13" s="50" t="s">
        <v>20</v>
      </c>
      <c r="C13" s="52" t="s">
        <v>21</v>
      </c>
      <c r="D13" s="53" t="s">
        <v>22</v>
      </c>
      <c r="E13" s="54">
        <f>ROUND(3*18,2)</f>
        <v>54</v>
      </c>
      <c r="F13" s="54">
        <v>530</v>
      </c>
      <c r="G13" s="54">
        <f>ROUND(E13*F13,2)</f>
        <v>28620</v>
      </c>
      <c r="H13" s="55" t="s">
        <v>23</v>
      </c>
      <c r="L13" s="49">
        <f>ROUND(G13/$G$154,4)</f>
        <v>0.0025</v>
      </c>
    </row>
    <row r="14" spans="1:12" s="40" customFormat="1" ht="22.5">
      <c r="A14" s="50" t="s">
        <v>24</v>
      </c>
      <c r="B14" s="50" t="s">
        <v>25</v>
      </c>
      <c r="C14" s="52" t="s">
        <v>26</v>
      </c>
      <c r="D14" s="53" t="s">
        <v>27</v>
      </c>
      <c r="E14" s="54">
        <f>ROUND(3*2,2)</f>
        <v>6</v>
      </c>
      <c r="F14" s="54">
        <v>72.79</v>
      </c>
      <c r="G14" s="54">
        <f>ROUND(E14*F14,2)</f>
        <v>436.74</v>
      </c>
      <c r="H14" s="55" t="s">
        <v>28</v>
      </c>
      <c r="L14" s="49">
        <f>ROUND(G14/$G$154,4)</f>
        <v>0</v>
      </c>
    </row>
    <row r="15" spans="1:12" s="40" customFormat="1" ht="33.75">
      <c r="A15" s="50" t="s">
        <v>29</v>
      </c>
      <c r="B15" s="51" t="s">
        <v>30</v>
      </c>
      <c r="C15" s="52" t="s">
        <v>31</v>
      </c>
      <c r="D15" s="53" t="s">
        <v>32</v>
      </c>
      <c r="E15" s="54">
        <f>ROUND(3*60,2)</f>
        <v>180</v>
      </c>
      <c r="F15" s="54">
        <v>31.44</v>
      </c>
      <c r="G15" s="54">
        <f>ROUND(E15*F15,2)</f>
        <v>5659.2</v>
      </c>
      <c r="H15" s="55" t="s">
        <v>33</v>
      </c>
      <c r="L15" s="49">
        <f>ROUND(G15/$G$154,4)</f>
        <v>0.0005</v>
      </c>
    </row>
    <row r="16" spans="1:12" s="40" customFormat="1" ht="45">
      <c r="A16" s="50" t="s">
        <v>34</v>
      </c>
      <c r="B16" s="51" t="s">
        <v>35</v>
      </c>
      <c r="C16" s="52" t="s">
        <v>36</v>
      </c>
      <c r="D16" s="53" t="s">
        <v>27</v>
      </c>
      <c r="E16" s="54">
        <v>1</v>
      </c>
      <c r="F16" s="54">
        <v>2184.42</v>
      </c>
      <c r="G16" s="54">
        <f>ROUND(E16*F16,2)</f>
        <v>2184.42</v>
      </c>
      <c r="H16" s="55" t="s">
        <v>37</v>
      </c>
      <c r="L16" s="49">
        <f>ROUND(G16/$G$154,4)</f>
        <v>0.0002</v>
      </c>
    </row>
    <row r="17" spans="1:12" s="40" customFormat="1" ht="56.25">
      <c r="A17" s="50" t="s">
        <v>38</v>
      </c>
      <c r="B17" s="51" t="s">
        <v>39</v>
      </c>
      <c r="C17" s="52" t="s">
        <v>40</v>
      </c>
      <c r="D17" s="53" t="s">
        <v>27</v>
      </c>
      <c r="E17" s="54">
        <v>1</v>
      </c>
      <c r="F17" s="54">
        <v>4225.66</v>
      </c>
      <c r="G17" s="54">
        <f>ROUND(E17*F17,2)</f>
        <v>4225.66</v>
      </c>
      <c r="H17" s="55" t="s">
        <v>37</v>
      </c>
      <c r="L17" s="49">
        <f>ROUND(G17/$G$154,4)</f>
        <v>0.0004</v>
      </c>
    </row>
    <row r="18" spans="1:12" s="40" customFormat="1" ht="56.25">
      <c r="A18" s="50" t="s">
        <v>41</v>
      </c>
      <c r="B18" s="51" t="s">
        <v>42</v>
      </c>
      <c r="C18" s="52" t="s">
        <v>43</v>
      </c>
      <c r="D18" s="53" t="s">
        <v>17</v>
      </c>
      <c r="E18" s="54">
        <f>ROUND(2.5*3*10,2)</f>
        <v>75</v>
      </c>
      <c r="F18" s="54">
        <v>46.63</v>
      </c>
      <c r="G18" s="54">
        <f>ROUND(E18*F18,2)</f>
        <v>3497.25</v>
      </c>
      <c r="H18" s="55" t="s">
        <v>44</v>
      </c>
      <c r="L18" s="49">
        <f>ROUND(G18/$G$154,4)</f>
        <v>0.0003</v>
      </c>
    </row>
    <row r="19" spans="1:12" s="40" customFormat="1" ht="56.25">
      <c r="A19" s="50" t="s">
        <v>45</v>
      </c>
      <c r="B19" s="51" t="s">
        <v>46</v>
      </c>
      <c r="C19" s="52" t="s">
        <v>47</v>
      </c>
      <c r="D19" s="53" t="s">
        <v>17</v>
      </c>
      <c r="E19" s="54">
        <f>ROUND(2.5*3*10*40,2)</f>
        <v>3000</v>
      </c>
      <c r="F19" s="54">
        <v>5.02</v>
      </c>
      <c r="G19" s="54">
        <f>ROUND(E19*F19,2)</f>
        <v>15060</v>
      </c>
      <c r="H19" s="55" t="s">
        <v>48</v>
      </c>
      <c r="L19" s="49">
        <f>ROUND(G19/$G$154,4)</f>
        <v>0.0013</v>
      </c>
    </row>
    <row r="20" spans="1:12" s="40" customFormat="1" ht="78.75">
      <c r="A20" s="50" t="s">
        <v>49</v>
      </c>
      <c r="B20" s="51" t="s">
        <v>50</v>
      </c>
      <c r="C20" s="52" t="s">
        <v>51</v>
      </c>
      <c r="D20" s="53" t="s">
        <v>17</v>
      </c>
      <c r="E20" s="54">
        <f>ROUND(E51+E43+E44+E45+E46+E47+E48,2)</f>
        <v>71190.45</v>
      </c>
      <c r="F20" s="54">
        <v>1.46</v>
      </c>
      <c r="G20" s="54">
        <f>ROUND(E20*F20,2)</f>
        <v>103938.06</v>
      </c>
      <c r="H20" s="55" t="s">
        <v>52</v>
      </c>
      <c r="L20" s="49">
        <f>ROUND(G20/$G$154,4)</f>
        <v>0.0092</v>
      </c>
    </row>
    <row r="21" spans="1:12" s="40" customFormat="1" ht="56.25">
      <c r="A21" s="50" t="s">
        <v>53</v>
      </c>
      <c r="B21" s="51" t="s">
        <v>54</v>
      </c>
      <c r="C21" s="52" t="s">
        <v>55</v>
      </c>
      <c r="D21" s="53" t="s">
        <v>17</v>
      </c>
      <c r="E21" s="54">
        <f>ROUND((30*2+50*2)*2,2)</f>
        <v>320</v>
      </c>
      <c r="F21" s="54">
        <v>25.22</v>
      </c>
      <c r="G21" s="54">
        <f>ROUND(E21*F21,2)</f>
        <v>8070.4</v>
      </c>
      <c r="H21" s="55" t="s">
        <v>56</v>
      </c>
      <c r="L21" s="49">
        <f>ROUND(G21/$G$154,4)</f>
        <v>0.0007</v>
      </c>
    </row>
    <row r="22" spans="1:12" s="40" customFormat="1" ht="11.25">
      <c r="A22" s="50" t="s">
        <v>57</v>
      </c>
      <c r="B22" s="51" t="s">
        <v>58</v>
      </c>
      <c r="C22" s="52" t="s">
        <v>59</v>
      </c>
      <c r="D22" s="53" t="s">
        <v>60</v>
      </c>
      <c r="E22" s="54">
        <v>18</v>
      </c>
      <c r="F22" s="54">
        <v>2659.36</v>
      </c>
      <c r="G22" s="54">
        <f>ROUND(E22*F22,2)</f>
        <v>47868.48</v>
      </c>
      <c r="H22" s="55" t="s">
        <v>61</v>
      </c>
      <c r="L22" s="49">
        <f>ROUND(G22/$G$154,4)</f>
        <v>0.0042</v>
      </c>
    </row>
    <row r="23" spans="1:12" s="40" customFormat="1" ht="22.5">
      <c r="A23" s="50" t="s">
        <v>62</v>
      </c>
      <c r="B23" s="51" t="s">
        <v>63</v>
      </c>
      <c r="C23" s="52" t="s">
        <v>64</v>
      </c>
      <c r="D23" s="53" t="s">
        <v>60</v>
      </c>
      <c r="E23" s="54">
        <v>6</v>
      </c>
      <c r="F23" s="54">
        <v>15755.52</v>
      </c>
      <c r="G23" s="54">
        <f>ROUND(E23*F23,2)</f>
        <v>94533.12</v>
      </c>
      <c r="H23" s="55" t="s">
        <v>65</v>
      </c>
      <c r="L23" s="49">
        <f>ROUND(G23/$G$154,4)</f>
        <v>0.0083</v>
      </c>
    </row>
    <row r="24" spans="1:12" s="40" customFormat="1" ht="11.25">
      <c r="A24" s="50"/>
      <c r="B24" s="56"/>
      <c r="C24" s="52"/>
      <c r="D24" s="53"/>
      <c r="E24" s="54"/>
      <c r="F24" s="54"/>
      <c r="G24" s="54"/>
      <c r="H24" s="55"/>
      <c r="L24" s="49"/>
    </row>
    <row r="25" spans="1:12" s="48" customFormat="1" ht="13.5">
      <c r="A25" s="42" t="s">
        <v>66</v>
      </c>
      <c r="B25" s="42"/>
      <c r="C25" s="43" t="s">
        <v>67</v>
      </c>
      <c r="D25" s="44"/>
      <c r="E25" s="45"/>
      <c r="F25" s="46"/>
      <c r="G25" s="46">
        <f>SUM(G26:G36)</f>
        <v>557815.5</v>
      </c>
      <c r="H25" s="47"/>
      <c r="L25" s="49"/>
    </row>
    <row r="26" spans="1:12" s="40" customFormat="1" ht="34.5" customHeight="1">
      <c r="A26" s="50" t="s">
        <v>68</v>
      </c>
      <c r="B26" s="50" t="s">
        <v>69</v>
      </c>
      <c r="C26" s="52" t="s">
        <v>70</v>
      </c>
      <c r="D26" s="53" t="s">
        <v>71</v>
      </c>
      <c r="E26" s="54">
        <v>7458.25</v>
      </c>
      <c r="F26" s="54">
        <v>16.24</v>
      </c>
      <c r="G26" s="54">
        <f>ROUND(E26*F26,2)</f>
        <v>121121.98</v>
      </c>
      <c r="H26" s="55" t="s">
        <v>72</v>
      </c>
      <c r="L26" s="49">
        <f>ROUND(G26/$G$154,4)</f>
        <v>0.0107</v>
      </c>
    </row>
    <row r="27" spans="1:12" s="40" customFormat="1" ht="33.75">
      <c r="A27" s="50" t="s">
        <v>73</v>
      </c>
      <c r="B27" s="50" t="s">
        <v>74</v>
      </c>
      <c r="C27" s="52" t="s">
        <v>75</v>
      </c>
      <c r="D27" s="53" t="s">
        <v>17</v>
      </c>
      <c r="E27" s="54">
        <v>26720.24</v>
      </c>
      <c r="F27" s="54">
        <v>7.38</v>
      </c>
      <c r="G27" s="54">
        <f>ROUND(E27*F27,2)</f>
        <v>197195.37</v>
      </c>
      <c r="H27" s="55" t="s">
        <v>76</v>
      </c>
      <c r="L27" s="49">
        <f>ROUND(G27/$G$154,4)</f>
        <v>0.0174</v>
      </c>
    </row>
    <row r="28" spans="1:12" s="40" customFormat="1" ht="45">
      <c r="A28" s="50" t="s">
        <v>77</v>
      </c>
      <c r="B28" s="50" t="s">
        <v>78</v>
      </c>
      <c r="C28" s="52" t="s">
        <v>79</v>
      </c>
      <c r="D28" s="53" t="s">
        <v>17</v>
      </c>
      <c r="E28" s="54">
        <f>ROUND(12075.63*70%,2)</f>
        <v>8452.94</v>
      </c>
      <c r="F28" s="54">
        <v>10.33</v>
      </c>
      <c r="G28" s="54">
        <f>ROUND(E28*F28,2)</f>
        <v>87318.87</v>
      </c>
      <c r="H28" s="55" t="s">
        <v>80</v>
      </c>
      <c r="L28" s="49">
        <f>ROUND(G28/$G$154,4)</f>
        <v>0.0077</v>
      </c>
    </row>
    <row r="29" spans="1:12" s="40" customFormat="1" ht="90.75" customHeight="1">
      <c r="A29" s="50" t="s">
        <v>81</v>
      </c>
      <c r="B29" s="50" t="s">
        <v>82</v>
      </c>
      <c r="C29" s="52" t="s">
        <v>83</v>
      </c>
      <c r="D29" s="53" t="s">
        <v>84</v>
      </c>
      <c r="E29" s="54">
        <f>ROUND(E28*0.1*1.25*1.4,2)*20%</f>
        <v>295.852</v>
      </c>
      <c r="F29" s="54">
        <v>22.15</v>
      </c>
      <c r="G29" s="54">
        <f>ROUND(E29*F29,2)</f>
        <v>6553.12</v>
      </c>
      <c r="H29" s="55" t="s">
        <v>85</v>
      </c>
      <c r="L29" s="49">
        <f>ROUND(G29/$G$154,4)</f>
        <v>0.0006</v>
      </c>
    </row>
    <row r="30" spans="1:12" s="40" customFormat="1" ht="56.25" customHeight="1">
      <c r="A30" s="50" t="s">
        <v>86</v>
      </c>
      <c r="B30" s="50" t="s">
        <v>87</v>
      </c>
      <c r="C30" s="52" t="s">
        <v>88</v>
      </c>
      <c r="D30" s="53" t="s">
        <v>84</v>
      </c>
      <c r="E30" s="54">
        <f>ROUND(E28*0.1*1.25*1.4,2)*80%</f>
        <v>1183.408</v>
      </c>
      <c r="F30" s="54">
        <v>5.3</v>
      </c>
      <c r="G30" s="54">
        <f>ROUND(E30*F30,2)</f>
        <v>6272.06</v>
      </c>
      <c r="H30" s="55" t="s">
        <v>89</v>
      </c>
      <c r="L30" s="49">
        <f>ROUND(G30/$G$154,4)</f>
        <v>0.0006</v>
      </c>
    </row>
    <row r="31" spans="1:12" s="40" customFormat="1" ht="67.5">
      <c r="A31" s="50" t="s">
        <v>90</v>
      </c>
      <c r="B31" s="51" t="s">
        <v>91</v>
      </c>
      <c r="C31" s="52" t="s">
        <v>92</v>
      </c>
      <c r="D31" s="53" t="s">
        <v>93</v>
      </c>
      <c r="E31" s="54">
        <f>ROUND(SUM(E29:E30)*10+(E34+E35+E36)*1.25*1.5*10,2)</f>
        <v>15823.85</v>
      </c>
      <c r="F31" s="54">
        <v>0.91</v>
      </c>
      <c r="G31" s="54">
        <f>ROUND(E31*F31,2)</f>
        <v>14399.7</v>
      </c>
      <c r="H31" s="55" t="s">
        <v>94</v>
      </c>
      <c r="K31" s="57" t="s">
        <v>95</v>
      </c>
      <c r="L31" s="49">
        <f>ROUND(G31/$G$154,4)</f>
        <v>0.0013</v>
      </c>
    </row>
    <row r="32" spans="1:12" s="40" customFormat="1" ht="45">
      <c r="A32" s="50" t="s">
        <v>96</v>
      </c>
      <c r="B32" s="51" t="s">
        <v>97</v>
      </c>
      <c r="C32" s="52" t="s">
        <v>98</v>
      </c>
      <c r="D32" s="53" t="s">
        <v>84</v>
      </c>
      <c r="E32" s="54">
        <f>ROUND(E27*0.1*1.25*1.4*100%,2)</f>
        <v>4676.04</v>
      </c>
      <c r="F32" s="54">
        <v>5.08</v>
      </c>
      <c r="G32" s="54">
        <f>ROUND(E32*F32,2)</f>
        <v>23754.28</v>
      </c>
      <c r="H32" s="55" t="s">
        <v>99</v>
      </c>
      <c r="K32" s="57">
        <f>ROUND((1*0.1*1.25*1.4*80%)*F32+(1*0.1*1.25*1.4*80%)*30*F33+1*F39+1*F40,2)</f>
        <v>44.58</v>
      </c>
      <c r="L32" s="49">
        <f>ROUND(G32/$G$154,4)</f>
        <v>0.0021</v>
      </c>
    </row>
    <row r="33" spans="1:12" s="40" customFormat="1" ht="67.5">
      <c r="A33" s="50" t="s">
        <v>100</v>
      </c>
      <c r="B33" s="51" t="s">
        <v>101</v>
      </c>
      <c r="C33" s="52" t="s">
        <v>102</v>
      </c>
      <c r="D33" s="53" t="s">
        <v>93</v>
      </c>
      <c r="E33" s="54">
        <f>ROUND(E32*30,2)</f>
        <v>140281.2</v>
      </c>
      <c r="F33" s="54">
        <v>0.68</v>
      </c>
      <c r="G33" s="54">
        <f>ROUND(E33*F33,2)</f>
        <v>95391.22</v>
      </c>
      <c r="H33" s="55" t="s">
        <v>103</v>
      </c>
      <c r="L33" s="49">
        <f>ROUND(G33/$G$154,4)</f>
        <v>0.0084</v>
      </c>
    </row>
    <row r="34" spans="1:12" s="62" customFormat="1" ht="33.75">
      <c r="A34" s="50" t="s">
        <v>104</v>
      </c>
      <c r="B34" s="51" t="s">
        <v>105</v>
      </c>
      <c r="C34" s="58" t="s">
        <v>106</v>
      </c>
      <c r="D34" s="59" t="s">
        <v>107</v>
      </c>
      <c r="E34" s="60">
        <f>ROUND(150*0.15*2,2)</f>
        <v>45</v>
      </c>
      <c r="F34" s="60">
        <v>75.64</v>
      </c>
      <c r="G34" s="60">
        <f>ROUND(E34*F34,2)</f>
        <v>3403.8</v>
      </c>
      <c r="H34" s="61" t="s">
        <v>108</v>
      </c>
      <c r="L34" s="49">
        <f>ROUND(G34/$G$154,4)</f>
        <v>0.0003</v>
      </c>
    </row>
    <row r="35" spans="1:12" s="62" customFormat="1" ht="33.75">
      <c r="A35" s="50" t="s">
        <v>109</v>
      </c>
      <c r="B35" s="51" t="s">
        <v>110</v>
      </c>
      <c r="C35" s="58" t="s">
        <v>111</v>
      </c>
      <c r="D35" s="59" t="s">
        <v>107</v>
      </c>
      <c r="E35" s="60">
        <v>5</v>
      </c>
      <c r="F35" s="60">
        <v>201.72</v>
      </c>
      <c r="G35" s="60">
        <f>ROUND(E35*F35,2)</f>
        <v>1008.6</v>
      </c>
      <c r="H35" s="61" t="s">
        <v>112</v>
      </c>
      <c r="L35" s="49">
        <f>ROUND(G35/$G$154,4)</f>
        <v>0.0001</v>
      </c>
    </row>
    <row r="36" spans="1:12" s="62" customFormat="1" ht="56.25">
      <c r="A36" s="50" t="s">
        <v>113</v>
      </c>
      <c r="B36" s="51" t="s">
        <v>114</v>
      </c>
      <c r="C36" s="58" t="s">
        <v>115</v>
      </c>
      <c r="D36" s="59" t="s">
        <v>107</v>
      </c>
      <c r="E36" s="60">
        <v>5</v>
      </c>
      <c r="F36" s="60">
        <v>279.3</v>
      </c>
      <c r="G36" s="60">
        <f>ROUND(E36*F36,2)</f>
        <v>1396.5</v>
      </c>
      <c r="H36" s="61" t="s">
        <v>112</v>
      </c>
      <c r="L36" s="49">
        <f>ROUND(G36/$G$154,4)</f>
        <v>0.0001</v>
      </c>
    </row>
    <row r="37" spans="1:12" s="40" customFormat="1" ht="11.25">
      <c r="A37" s="50"/>
      <c r="B37" s="56"/>
      <c r="C37" s="52"/>
      <c r="D37" s="53"/>
      <c r="E37" s="54"/>
      <c r="F37" s="54"/>
      <c r="G37" s="54"/>
      <c r="H37" s="55"/>
      <c r="L37" s="49"/>
    </row>
    <row r="38" spans="1:12" s="40" customFormat="1" ht="13.5">
      <c r="A38" s="42" t="s">
        <v>116</v>
      </c>
      <c r="B38" s="42"/>
      <c r="C38" s="43" t="s">
        <v>117</v>
      </c>
      <c r="D38" s="44"/>
      <c r="E38" s="46"/>
      <c r="F38" s="46"/>
      <c r="G38" s="46">
        <f>SUM(G39:G61)</f>
        <v>6980417.05</v>
      </c>
      <c r="H38" s="47"/>
      <c r="L38" s="49"/>
    </row>
    <row r="39" spans="1:12" s="40" customFormat="1" ht="33.75">
      <c r="A39" s="50" t="s">
        <v>118</v>
      </c>
      <c r="B39" s="50" t="s">
        <v>119</v>
      </c>
      <c r="C39" s="52" t="s">
        <v>120</v>
      </c>
      <c r="D39" s="53" t="s">
        <v>17</v>
      </c>
      <c r="E39" s="54">
        <f>ROUND(E27*80%,2)</f>
        <v>21376.19</v>
      </c>
      <c r="F39" s="54">
        <v>32.59</v>
      </c>
      <c r="G39" s="54">
        <f>ROUND(E39*F39,2)</f>
        <v>696650.03</v>
      </c>
      <c r="H39" s="55" t="s">
        <v>121</v>
      </c>
      <c r="L39" s="49">
        <f>ROUND(G39/$G$154,4)</f>
        <v>0.0615</v>
      </c>
    </row>
    <row r="40" spans="1:12" s="40" customFormat="1" ht="33.75">
      <c r="A40" s="50" t="s">
        <v>122</v>
      </c>
      <c r="B40" s="50" t="s">
        <v>123</v>
      </c>
      <c r="C40" s="52" t="s">
        <v>124</v>
      </c>
      <c r="D40" s="53" t="s">
        <v>17</v>
      </c>
      <c r="E40" s="54">
        <f>E39</f>
        <v>21376.19</v>
      </c>
      <c r="F40" s="54">
        <v>8.42</v>
      </c>
      <c r="G40" s="54">
        <f>ROUND(E40*F40,2)</f>
        <v>179987.52</v>
      </c>
      <c r="H40" s="55" t="s">
        <v>121</v>
      </c>
      <c r="L40" s="49">
        <f>ROUND(G40/$G$154,4)</f>
        <v>0.0159</v>
      </c>
    </row>
    <row r="41" spans="1:12" s="40" customFormat="1" ht="78.75">
      <c r="A41" s="50" t="s">
        <v>125</v>
      </c>
      <c r="B41" s="50" t="s">
        <v>126</v>
      </c>
      <c r="C41" s="52" t="s">
        <v>127</v>
      </c>
      <c r="D41" s="53" t="s">
        <v>71</v>
      </c>
      <c r="E41" s="54">
        <f>ROUND((E39/7)*2,2)</f>
        <v>6107.48</v>
      </c>
      <c r="F41" s="54">
        <v>21.51</v>
      </c>
      <c r="G41" s="54">
        <f>ROUND(E41*F41,2)</f>
        <v>131371.89</v>
      </c>
      <c r="H41" s="55" t="s">
        <v>128</v>
      </c>
      <c r="L41" s="49">
        <f>ROUND(G41/$G$154,4)</f>
        <v>0.0116</v>
      </c>
    </row>
    <row r="42" spans="1:12" s="40" customFormat="1" ht="78.75">
      <c r="A42" s="50" t="s">
        <v>129</v>
      </c>
      <c r="B42" s="50" t="s">
        <v>130</v>
      </c>
      <c r="C42" s="52" t="s">
        <v>131</v>
      </c>
      <c r="D42" s="53" t="s">
        <v>71</v>
      </c>
      <c r="E42" s="54">
        <v>4422.09</v>
      </c>
      <c r="F42" s="54">
        <v>43.88</v>
      </c>
      <c r="G42" s="54">
        <f>ROUND(E42*F42,2)</f>
        <v>194041.31</v>
      </c>
      <c r="H42" s="55" t="s">
        <v>132</v>
      </c>
      <c r="L42" s="49">
        <f>ROUND(G42/$G$154,4)</f>
        <v>0.0171</v>
      </c>
    </row>
    <row r="43" spans="1:12" s="62" customFormat="1" ht="112.5">
      <c r="A43" s="63" t="s">
        <v>133</v>
      </c>
      <c r="B43" s="63" t="s">
        <v>134</v>
      </c>
      <c r="C43" s="58" t="s">
        <v>135</v>
      </c>
      <c r="D43" s="59" t="s">
        <v>17</v>
      </c>
      <c r="E43" s="60">
        <f>ROUND(7855.41*0.2-E45,2)</f>
        <v>1243.77</v>
      </c>
      <c r="F43" s="60">
        <v>104.53</v>
      </c>
      <c r="G43" s="60">
        <f>ROUND(E43*F43,2)</f>
        <v>130011.28</v>
      </c>
      <c r="H43" s="61" t="s">
        <v>136</v>
      </c>
      <c r="L43" s="49">
        <f>ROUND(G43/$G$154,4)</f>
        <v>0.0115</v>
      </c>
    </row>
    <row r="44" spans="1:12" s="62" customFormat="1" ht="112.5">
      <c r="A44" s="63" t="s">
        <v>137</v>
      </c>
      <c r="B44" s="63" t="s">
        <v>138</v>
      </c>
      <c r="C44" s="58" t="s">
        <v>139</v>
      </c>
      <c r="D44" s="59" t="s">
        <v>17</v>
      </c>
      <c r="E44" s="60">
        <f>ROUND(15029.82-(327.31+E43+E45+E46),2)</f>
        <v>10676.6</v>
      </c>
      <c r="F44" s="60">
        <v>91.55</v>
      </c>
      <c r="G44" s="60">
        <f>ROUND(E44*F44,2)</f>
        <v>977442.73</v>
      </c>
      <c r="H44" s="61" t="s">
        <v>140</v>
      </c>
      <c r="L44" s="49">
        <f>ROUND(G44/$G$154,4)</f>
        <v>0.0862</v>
      </c>
    </row>
    <row r="45" spans="1:12" s="62" customFormat="1" ht="112.5">
      <c r="A45" s="63" t="s">
        <v>141</v>
      </c>
      <c r="B45" s="63" t="s">
        <v>142</v>
      </c>
      <c r="C45" s="58" t="s">
        <v>143</v>
      </c>
      <c r="D45" s="59" t="s">
        <v>17</v>
      </c>
      <c r="E45" s="60">
        <f>ROUND(1636.55*0.2,2)</f>
        <v>327.31</v>
      </c>
      <c r="F45" s="60">
        <v>114.97</v>
      </c>
      <c r="G45" s="60">
        <f>ROUND(E45*F45,2)</f>
        <v>37630.83</v>
      </c>
      <c r="H45" s="61" t="s">
        <v>144</v>
      </c>
      <c r="L45" s="49">
        <f>ROUND(G45/$G$154,4)</f>
        <v>0.0033</v>
      </c>
    </row>
    <row r="46" spans="1:12" s="62" customFormat="1" ht="112.5">
      <c r="A46" s="63" t="s">
        <v>145</v>
      </c>
      <c r="B46" s="63" t="s">
        <v>146</v>
      </c>
      <c r="C46" s="58" t="s">
        <v>147</v>
      </c>
      <c r="D46" s="59" t="s">
        <v>17</v>
      </c>
      <c r="E46" s="60">
        <f>ROUND(1636.55*1.5,2)</f>
        <v>2454.83</v>
      </c>
      <c r="F46" s="60">
        <v>101.99</v>
      </c>
      <c r="G46" s="60">
        <f>ROUND(E46*F46,2)</f>
        <v>250368.11</v>
      </c>
      <c r="H46" s="61" t="s">
        <v>148</v>
      </c>
      <c r="L46" s="49">
        <f>ROUND(G46/$G$154,4)</f>
        <v>0.0221</v>
      </c>
    </row>
    <row r="47" spans="1:12" s="62" customFormat="1" ht="112.5">
      <c r="A47" s="63" t="s">
        <v>149</v>
      </c>
      <c r="B47" s="63" t="s">
        <v>150</v>
      </c>
      <c r="C47" s="58" t="s">
        <v>151</v>
      </c>
      <c r="D47" s="59" t="s">
        <v>17</v>
      </c>
      <c r="E47" s="60">
        <v>4200</v>
      </c>
      <c r="F47" s="60">
        <v>122.38</v>
      </c>
      <c r="G47" s="60">
        <f>ROUND(E47*F47,2)</f>
        <v>513996</v>
      </c>
      <c r="H47" s="61" t="s">
        <v>152</v>
      </c>
      <c r="L47" s="49">
        <f>ROUND(G47/$G$154,4)</f>
        <v>0.0453</v>
      </c>
    </row>
    <row r="48" spans="1:12" s="40" customFormat="1" ht="56.25">
      <c r="A48" s="50" t="s">
        <v>153</v>
      </c>
      <c r="B48" s="50" t="s">
        <v>154</v>
      </c>
      <c r="C48" s="52" t="s">
        <v>155</v>
      </c>
      <c r="D48" s="53" t="s">
        <v>17</v>
      </c>
      <c r="E48" s="54">
        <f>ROUND(1636.55*0.2+1.28*166,2)</f>
        <v>539.79</v>
      </c>
      <c r="F48" s="54">
        <v>55.48</v>
      </c>
      <c r="G48" s="54">
        <f>ROUND(E48*F48,2)</f>
        <v>29947.55</v>
      </c>
      <c r="H48" s="55" t="s">
        <v>156</v>
      </c>
      <c r="L48" s="49">
        <f>ROUND(G48/$G$154,4)</f>
        <v>0.0026</v>
      </c>
    </row>
    <row r="49" spans="1:12" s="40" customFormat="1" ht="22.5">
      <c r="A49" s="50" t="s">
        <v>157</v>
      </c>
      <c r="B49" s="50" t="s">
        <v>158</v>
      </c>
      <c r="C49" s="52" t="s">
        <v>159</v>
      </c>
      <c r="D49" s="53" t="s">
        <v>107</v>
      </c>
      <c r="E49" s="54">
        <f>ROUND(26171.96*0.2+E47*0.2,2)</f>
        <v>6074.39</v>
      </c>
      <c r="F49" s="54">
        <v>100.53</v>
      </c>
      <c r="G49" s="54">
        <f>ROUND(E49*F49,2)</f>
        <v>610658.43</v>
      </c>
      <c r="H49" s="55" t="s">
        <v>160</v>
      </c>
      <c r="L49" s="49">
        <f>ROUND(G49/$G$154,4)</f>
        <v>0.0539</v>
      </c>
    </row>
    <row r="50" spans="1:12" s="40" customFormat="1" ht="56.25" customHeight="1">
      <c r="A50" s="50" t="s">
        <v>161</v>
      </c>
      <c r="B50" s="50" t="s">
        <v>162</v>
      </c>
      <c r="C50" s="52" t="s">
        <v>163</v>
      </c>
      <c r="D50" s="53" t="s">
        <v>107</v>
      </c>
      <c r="E50" s="54">
        <f>E49</f>
        <v>6074.39</v>
      </c>
      <c r="F50" s="54">
        <v>6.01</v>
      </c>
      <c r="G50" s="54">
        <f>ROUND(E50*F50,2)</f>
        <v>36507.08</v>
      </c>
      <c r="H50" s="55" t="s">
        <v>160</v>
      </c>
      <c r="L50" s="49">
        <f>ROUND(G50/$G$154,4)</f>
        <v>0.0032</v>
      </c>
    </row>
    <row r="51" spans="1:12" s="40" customFormat="1" ht="68.25" customHeight="1">
      <c r="A51" s="50" t="s">
        <v>164</v>
      </c>
      <c r="B51" s="50" t="s">
        <v>165</v>
      </c>
      <c r="C51" s="52" t="s">
        <v>166</v>
      </c>
      <c r="D51" s="53" t="s">
        <v>17</v>
      </c>
      <c r="E51" s="54">
        <f>26171.96+E47+E39</f>
        <v>51748.15</v>
      </c>
      <c r="F51" s="54">
        <v>1.51</v>
      </c>
      <c r="G51" s="54">
        <f>ROUND(E51*F51,2)</f>
        <v>78139.71</v>
      </c>
      <c r="H51" s="55" t="s">
        <v>167</v>
      </c>
      <c r="L51" s="49">
        <f>ROUND(G51/$G$154,4)</f>
        <v>0.0069</v>
      </c>
    </row>
    <row r="52" spans="1:12" s="40" customFormat="1" ht="22.5">
      <c r="A52" s="50" t="s">
        <v>168</v>
      </c>
      <c r="B52" s="50" t="s">
        <v>169</v>
      </c>
      <c r="C52" s="52" t="s">
        <v>170</v>
      </c>
      <c r="D52" s="53" t="s">
        <v>17</v>
      </c>
      <c r="E52" s="54">
        <v>26171.96</v>
      </c>
      <c r="F52" s="54">
        <v>8.79</v>
      </c>
      <c r="G52" s="54">
        <f>ROUND(E52*F52,2)</f>
        <v>230051.53</v>
      </c>
      <c r="H52" s="55" t="s">
        <v>171</v>
      </c>
      <c r="L52" s="49">
        <f>ROUND(G52/$G$154,4)</f>
        <v>0.0203</v>
      </c>
    </row>
    <row r="53" spans="1:12" s="40" customFormat="1" ht="22.5">
      <c r="A53" s="50" t="s">
        <v>172</v>
      </c>
      <c r="B53" s="50" t="s">
        <v>173</v>
      </c>
      <c r="C53" s="52" t="s">
        <v>174</v>
      </c>
      <c r="D53" s="53" t="s">
        <v>17</v>
      </c>
      <c r="E53" s="54">
        <v>26171.96</v>
      </c>
      <c r="F53" s="54">
        <v>2.45</v>
      </c>
      <c r="G53" s="54">
        <f>ROUND(E53*F53,2)</f>
        <v>64121.3</v>
      </c>
      <c r="H53" s="55" t="s">
        <v>171</v>
      </c>
      <c r="L53" s="49">
        <f>ROUND(G53/$G$154,4)</f>
        <v>0.0057</v>
      </c>
    </row>
    <row r="54" spans="1:12" s="40" customFormat="1" ht="90">
      <c r="A54" s="50" t="s">
        <v>175</v>
      </c>
      <c r="B54" s="50" t="s">
        <v>176</v>
      </c>
      <c r="C54" s="52" t="s">
        <v>177</v>
      </c>
      <c r="D54" s="53" t="s">
        <v>84</v>
      </c>
      <c r="E54" s="54">
        <f>ROUND((E53*0.05)*1.15*2.3,2)</f>
        <v>3461.24</v>
      </c>
      <c r="F54" s="54">
        <v>589.18</v>
      </c>
      <c r="G54" s="54">
        <f>ROUND(E54*F54,2)</f>
        <v>2039293.38</v>
      </c>
      <c r="H54" s="55" t="s">
        <v>178</v>
      </c>
      <c r="L54" s="49">
        <f>ROUND(G54/$G$154,4)</f>
        <v>0.1799</v>
      </c>
    </row>
    <row r="55" spans="1:12" s="40" customFormat="1" ht="67.5">
      <c r="A55" s="50" t="s">
        <v>179</v>
      </c>
      <c r="B55" s="50" t="s">
        <v>180</v>
      </c>
      <c r="C55" s="52" t="s">
        <v>181</v>
      </c>
      <c r="D55" s="53" t="s">
        <v>93</v>
      </c>
      <c r="E55" s="54">
        <f>ROUND((E54*60)+(E49*1.25*1.4*60),2)</f>
        <v>845485.35</v>
      </c>
      <c r="F55" s="54">
        <v>0.56</v>
      </c>
      <c r="G55" s="54">
        <f>ROUND(E55*F55,2)</f>
        <v>473471.8</v>
      </c>
      <c r="H55" s="55" t="s">
        <v>182</v>
      </c>
      <c r="L55" s="49">
        <f>ROUND(G55/$G$154,4)</f>
        <v>0.0418</v>
      </c>
    </row>
    <row r="56" spans="1:12" s="40" customFormat="1" ht="67.5">
      <c r="A56" s="50" t="s">
        <v>183</v>
      </c>
      <c r="B56" s="50" t="s">
        <v>91</v>
      </c>
      <c r="C56" s="52" t="s">
        <v>92</v>
      </c>
      <c r="D56" s="53" t="s">
        <v>93</v>
      </c>
      <c r="E56" s="54">
        <f>ROUND(E50*1.25*1.4*15,2)</f>
        <v>159452.74</v>
      </c>
      <c r="F56" s="54">
        <v>0.91</v>
      </c>
      <c r="G56" s="54">
        <f>ROUND(E56*F56,2)</f>
        <v>145101.99</v>
      </c>
      <c r="H56" s="55" t="s">
        <v>184</v>
      </c>
      <c r="L56" s="49">
        <f>ROUND(G56/$G$154,4)</f>
        <v>0.0128</v>
      </c>
    </row>
    <row r="57" spans="1:12" s="40" customFormat="1" ht="33.75">
      <c r="A57" s="50" t="s">
        <v>185</v>
      </c>
      <c r="B57" s="50" t="s">
        <v>186</v>
      </c>
      <c r="C57" s="52" t="s">
        <v>187</v>
      </c>
      <c r="D57" s="53" t="s">
        <v>107</v>
      </c>
      <c r="E57" s="54">
        <f>ROUND(E50,2)</f>
        <v>6074.39</v>
      </c>
      <c r="F57" s="54">
        <v>2.57</v>
      </c>
      <c r="G57" s="54">
        <f>ROUND(E57*F57,2)</f>
        <v>15611.18</v>
      </c>
      <c r="H57" s="55" t="s">
        <v>188</v>
      </c>
      <c r="L57" s="49"/>
    </row>
    <row r="58" spans="1:12" s="40" customFormat="1" ht="45">
      <c r="A58" s="50" t="s">
        <v>189</v>
      </c>
      <c r="B58" s="50" t="s">
        <v>190</v>
      </c>
      <c r="C58" s="52" t="s">
        <v>191</v>
      </c>
      <c r="D58" s="53" t="s">
        <v>17</v>
      </c>
      <c r="E58" s="54">
        <f>ROUND(E43+E44+E45+E46,2)</f>
        <v>14702.51</v>
      </c>
      <c r="F58" s="54">
        <v>7.38</v>
      </c>
      <c r="G58" s="54">
        <f>ROUND(E58*F58,2)</f>
        <v>108504.52</v>
      </c>
      <c r="H58" s="55" t="s">
        <v>192</v>
      </c>
      <c r="L58" s="49">
        <f>ROUND(G58/$G$154,4)</f>
        <v>0.0096</v>
      </c>
    </row>
    <row r="59" spans="1:12" s="62" customFormat="1" ht="34.5" customHeight="1">
      <c r="A59" s="50" t="s">
        <v>193</v>
      </c>
      <c r="B59" s="63" t="s">
        <v>194</v>
      </c>
      <c r="C59" s="58" t="s">
        <v>195</v>
      </c>
      <c r="D59" s="59" t="s">
        <v>27</v>
      </c>
      <c r="E59" s="60">
        <v>300</v>
      </c>
      <c r="F59" s="60">
        <v>69.0096</v>
      </c>
      <c r="G59" s="60">
        <f>ROUND(E59*F59,2)</f>
        <v>20702.88</v>
      </c>
      <c r="H59" s="61" t="s">
        <v>196</v>
      </c>
      <c r="L59" s="49">
        <f>ROUND(G59/$G$154,4)</f>
        <v>0.0018</v>
      </c>
    </row>
    <row r="60" spans="1:12" s="40" customFormat="1" ht="44.25" customHeight="1">
      <c r="A60" s="50" t="s">
        <v>197</v>
      </c>
      <c r="B60" s="50" t="s">
        <v>198</v>
      </c>
      <c r="C60" s="52" t="s">
        <v>199</v>
      </c>
      <c r="D60" s="53" t="s">
        <v>27</v>
      </c>
      <c r="E60" s="54">
        <f>E59</f>
        <v>300</v>
      </c>
      <c r="F60" s="54">
        <v>2.11</v>
      </c>
      <c r="G60" s="54">
        <f>ROUND(E60*F60,2)</f>
        <v>633</v>
      </c>
      <c r="H60" s="55" t="s">
        <v>196</v>
      </c>
      <c r="L60" s="49">
        <f>ROUND(G60/$G$154,4)</f>
        <v>0.0001</v>
      </c>
    </row>
    <row r="61" spans="1:12" s="40" customFormat="1" ht="56.25">
      <c r="A61" s="50" t="s">
        <v>200</v>
      </c>
      <c r="B61" s="50" t="s">
        <v>201</v>
      </c>
      <c r="C61" s="52" t="s">
        <v>202</v>
      </c>
      <c r="D61" s="53" t="s">
        <v>27</v>
      </c>
      <c r="E61" s="54">
        <f>E60</f>
        <v>300</v>
      </c>
      <c r="F61" s="54">
        <v>53.91</v>
      </c>
      <c r="G61" s="54">
        <f>ROUND(E61*F61,2)</f>
        <v>16173</v>
      </c>
      <c r="H61" s="55" t="s">
        <v>196</v>
      </c>
      <c r="L61" s="49">
        <f>ROUND(G61/$G$154,4)</f>
        <v>0.0014</v>
      </c>
    </row>
    <row r="62" spans="1:12" s="40" customFormat="1" ht="11.25">
      <c r="A62" s="50"/>
      <c r="B62" s="50"/>
      <c r="C62" s="52"/>
      <c r="D62" s="53"/>
      <c r="E62" s="54"/>
      <c r="F62" s="54"/>
      <c r="G62" s="54"/>
      <c r="H62" s="55"/>
      <c r="L62" s="49"/>
    </row>
    <row r="63" spans="1:12" s="40" customFormat="1" ht="13.5">
      <c r="A63" s="42" t="s">
        <v>203</v>
      </c>
      <c r="B63" s="42"/>
      <c r="C63" s="43" t="s">
        <v>204</v>
      </c>
      <c r="D63" s="44"/>
      <c r="E63" s="46"/>
      <c r="F63" s="46"/>
      <c r="G63" s="46">
        <f>SUM(G64:G89)</f>
        <v>2025673.68</v>
      </c>
      <c r="H63" s="47"/>
      <c r="L63" s="49"/>
    </row>
    <row r="64" spans="1:12" s="40" customFormat="1" ht="101.25">
      <c r="A64" s="50" t="s">
        <v>205</v>
      </c>
      <c r="B64" s="50" t="s">
        <v>206</v>
      </c>
      <c r="C64" s="64" t="s">
        <v>207</v>
      </c>
      <c r="D64" s="53" t="s">
        <v>27</v>
      </c>
      <c r="E64" s="54">
        <v>175</v>
      </c>
      <c r="F64" s="54">
        <v>864.92</v>
      </c>
      <c r="G64" s="54">
        <f>ROUND(E64*F64,2)</f>
        <v>151361</v>
      </c>
      <c r="H64" s="55" t="s">
        <v>208</v>
      </c>
      <c r="L64" s="49">
        <f>ROUND(G64/$G$154,4)</f>
        <v>0.0134</v>
      </c>
    </row>
    <row r="65" spans="1:12" s="40" customFormat="1" ht="101.25">
      <c r="A65" s="50" t="s">
        <v>209</v>
      </c>
      <c r="B65" s="50" t="s">
        <v>210</v>
      </c>
      <c r="C65" s="64" t="s">
        <v>211</v>
      </c>
      <c r="D65" s="53" t="s">
        <v>71</v>
      </c>
      <c r="E65" s="54">
        <f>1003+612.5</f>
        <v>1615.5</v>
      </c>
      <c r="F65" s="54">
        <v>145.94</v>
      </c>
      <c r="G65" s="54">
        <f>ROUND(E65*F65,2)</f>
        <v>235766.07</v>
      </c>
      <c r="H65" s="65" t="s">
        <v>212</v>
      </c>
      <c r="L65" s="49">
        <f>ROUND(G65/$G$154,4)</f>
        <v>0.0208</v>
      </c>
    </row>
    <row r="66" spans="1:12" s="40" customFormat="1" ht="101.25">
      <c r="A66" s="50" t="s">
        <v>213</v>
      </c>
      <c r="B66" s="50" t="s">
        <v>214</v>
      </c>
      <c r="C66" s="64" t="s">
        <v>215</v>
      </c>
      <c r="D66" s="53" t="s">
        <v>71</v>
      </c>
      <c r="E66" s="54">
        <v>759</v>
      </c>
      <c r="F66" s="54">
        <v>284.48</v>
      </c>
      <c r="G66" s="54">
        <f>ROUND(E66*F66,2)</f>
        <v>215920.32</v>
      </c>
      <c r="H66" s="55" t="s">
        <v>216</v>
      </c>
      <c r="L66" s="49">
        <f>ROUND(G66/$G$154,4)</f>
        <v>0.019</v>
      </c>
    </row>
    <row r="67" spans="1:12" s="40" customFormat="1" ht="101.25">
      <c r="A67" s="50" t="s">
        <v>217</v>
      </c>
      <c r="B67" s="50" t="s">
        <v>218</v>
      </c>
      <c r="C67" s="64" t="s">
        <v>219</v>
      </c>
      <c r="D67" s="53" t="s">
        <v>71</v>
      </c>
      <c r="E67" s="54">
        <v>566</v>
      </c>
      <c r="F67" s="54">
        <v>379.95</v>
      </c>
      <c r="G67" s="54">
        <f>ROUND(E67*F67,2)</f>
        <v>215051.7</v>
      </c>
      <c r="H67" s="65" t="s">
        <v>220</v>
      </c>
      <c r="L67" s="49">
        <f>ROUND(G67/$G$154,4)</f>
        <v>0.019</v>
      </c>
    </row>
    <row r="68" spans="1:12" s="40" customFormat="1" ht="91.5" customHeight="1">
      <c r="A68" s="50" t="s">
        <v>221</v>
      </c>
      <c r="B68" s="50" t="s">
        <v>222</v>
      </c>
      <c r="C68" s="64" t="s">
        <v>223</v>
      </c>
      <c r="D68" s="53" t="s">
        <v>71</v>
      </c>
      <c r="E68" s="54">
        <v>350</v>
      </c>
      <c r="F68" s="54">
        <v>622.2</v>
      </c>
      <c r="G68" s="54">
        <f>ROUND(E68*F68,2)</f>
        <v>217770</v>
      </c>
      <c r="H68" s="65" t="s">
        <v>224</v>
      </c>
      <c r="L68" s="49">
        <f>ROUND(G68/$G$154,4)</f>
        <v>0.0192</v>
      </c>
    </row>
    <row r="69" spans="1:12" s="40" customFormat="1" ht="101.25">
      <c r="A69" s="50" t="s">
        <v>225</v>
      </c>
      <c r="B69" s="50" t="s">
        <v>226</v>
      </c>
      <c r="C69" s="64" t="s">
        <v>227</v>
      </c>
      <c r="D69" s="53" t="s">
        <v>71</v>
      </c>
      <c r="E69" s="54">
        <v>197</v>
      </c>
      <c r="F69" s="54">
        <v>1103.39</v>
      </c>
      <c r="G69" s="54">
        <f>ROUND(E69*F69,2)</f>
        <v>217367.83</v>
      </c>
      <c r="H69" s="55" t="s">
        <v>228</v>
      </c>
      <c r="L69" s="49">
        <f>ROUND(G69/$G$154,4)</f>
        <v>0.0192</v>
      </c>
    </row>
    <row r="70" spans="1:12" s="40" customFormat="1" ht="101.25">
      <c r="A70" s="50" t="s">
        <v>229</v>
      </c>
      <c r="B70" s="50" t="s">
        <v>230</v>
      </c>
      <c r="C70" s="64" t="s">
        <v>231</v>
      </c>
      <c r="D70" s="53" t="s">
        <v>27</v>
      </c>
      <c r="E70" s="54">
        <v>23</v>
      </c>
      <c r="F70" s="54">
        <v>2439.06</v>
      </c>
      <c r="G70" s="54">
        <f>ROUND(E70*F70,2)</f>
        <v>56098.38</v>
      </c>
      <c r="H70" s="65" t="s">
        <v>232</v>
      </c>
      <c r="L70" s="49">
        <f>ROUND(G70/$G$154,4)</f>
        <v>0.0049</v>
      </c>
    </row>
    <row r="71" spans="1:12" s="40" customFormat="1" ht="90">
      <c r="A71" s="50" t="s">
        <v>233</v>
      </c>
      <c r="B71" s="50" t="s">
        <v>234</v>
      </c>
      <c r="C71" s="64" t="s">
        <v>235</v>
      </c>
      <c r="D71" s="53" t="s">
        <v>27</v>
      </c>
      <c r="E71" s="54">
        <v>2</v>
      </c>
      <c r="F71" s="54">
        <v>2909.02</v>
      </c>
      <c r="G71" s="54">
        <f>ROUND(E71*F71,2)</f>
        <v>5818.04</v>
      </c>
      <c r="H71" s="65" t="s">
        <v>236</v>
      </c>
      <c r="L71" s="49">
        <f>ROUND(G71/$G$154,4)</f>
        <v>0.0005</v>
      </c>
    </row>
    <row r="72" spans="1:12" s="40" customFormat="1" ht="101.25">
      <c r="A72" s="50" t="s">
        <v>237</v>
      </c>
      <c r="B72" s="50" t="s">
        <v>238</v>
      </c>
      <c r="C72" s="64" t="s">
        <v>239</v>
      </c>
      <c r="D72" s="53" t="s">
        <v>27</v>
      </c>
      <c r="E72" s="54">
        <v>7</v>
      </c>
      <c r="F72" s="54">
        <v>3204.73</v>
      </c>
      <c r="G72" s="54">
        <f>ROUND(E72*F72,2)</f>
        <v>22433.11</v>
      </c>
      <c r="H72" s="55" t="s">
        <v>240</v>
      </c>
      <c r="L72" s="49">
        <f>ROUND(G72/$G$154,4)</f>
        <v>0.002</v>
      </c>
    </row>
    <row r="73" spans="1:12" s="40" customFormat="1" ht="101.25">
      <c r="A73" s="50" t="s">
        <v>241</v>
      </c>
      <c r="B73" s="50" t="s">
        <v>242</v>
      </c>
      <c r="C73" s="64" t="s">
        <v>243</v>
      </c>
      <c r="D73" s="53" t="s">
        <v>27</v>
      </c>
      <c r="E73" s="54">
        <v>1</v>
      </c>
      <c r="F73" s="54">
        <v>3597.4</v>
      </c>
      <c r="G73" s="54">
        <f>ROUND(E73*F73,2)</f>
        <v>3597.4</v>
      </c>
      <c r="H73" s="65" t="s">
        <v>37</v>
      </c>
      <c r="L73" s="49">
        <f>ROUND(G73/$G$154,4)</f>
        <v>0.0003</v>
      </c>
    </row>
    <row r="74" spans="1:12" s="40" customFormat="1" ht="101.25">
      <c r="A74" s="50" t="s">
        <v>244</v>
      </c>
      <c r="B74" s="50" t="s">
        <v>245</v>
      </c>
      <c r="C74" s="64" t="s">
        <v>246</v>
      </c>
      <c r="D74" s="53" t="s">
        <v>27</v>
      </c>
      <c r="E74" s="54">
        <v>16</v>
      </c>
      <c r="F74" s="54">
        <v>3940.75</v>
      </c>
      <c r="G74" s="54">
        <f>ROUND(E74*F74,2)</f>
        <v>63052</v>
      </c>
      <c r="H74" s="65" t="s">
        <v>247</v>
      </c>
      <c r="L74" s="49">
        <f>ROUND(G74/$G$154,4)</f>
        <v>0.0056</v>
      </c>
    </row>
    <row r="75" spans="1:12" s="40" customFormat="1" ht="101.25">
      <c r="A75" s="50" t="s">
        <v>248</v>
      </c>
      <c r="B75" s="50" t="s">
        <v>249</v>
      </c>
      <c r="C75" s="64" t="s">
        <v>250</v>
      </c>
      <c r="D75" s="53" t="s">
        <v>27</v>
      </c>
      <c r="E75" s="54">
        <v>20</v>
      </c>
      <c r="F75" s="54">
        <v>5101.74</v>
      </c>
      <c r="G75" s="54">
        <f>ROUND(E75*F75,2)</f>
        <v>102034.8</v>
      </c>
      <c r="H75" s="55" t="s">
        <v>251</v>
      </c>
      <c r="L75" s="49">
        <f>ROUND(G75/$G$154,4)</f>
        <v>0.009</v>
      </c>
    </row>
    <row r="76" spans="1:12" s="40" customFormat="1" ht="90">
      <c r="A76" s="50" t="s">
        <v>252</v>
      </c>
      <c r="B76" s="50" t="s">
        <v>253</v>
      </c>
      <c r="C76" s="64" t="s">
        <v>254</v>
      </c>
      <c r="D76" s="53" t="s">
        <v>27</v>
      </c>
      <c r="E76" s="54">
        <v>4</v>
      </c>
      <c r="F76" s="54">
        <v>6981.58</v>
      </c>
      <c r="G76" s="54">
        <f>ROUND(E76*F76,2)</f>
        <v>27926.32</v>
      </c>
      <c r="H76" s="65" t="s">
        <v>255</v>
      </c>
      <c r="L76" s="49">
        <f>ROUND(G76/$G$154,4)</f>
        <v>0.0025</v>
      </c>
    </row>
    <row r="77" spans="1:12" s="40" customFormat="1" ht="90">
      <c r="A77" s="50" t="s">
        <v>256</v>
      </c>
      <c r="B77" s="50" t="s">
        <v>257</v>
      </c>
      <c r="C77" s="64" t="s">
        <v>258</v>
      </c>
      <c r="D77" s="53" t="s">
        <v>27</v>
      </c>
      <c r="E77" s="54">
        <v>1</v>
      </c>
      <c r="F77" s="54">
        <v>8506.99</v>
      </c>
      <c r="G77" s="54">
        <f>ROUND(E77*F77,2)</f>
        <v>8506.99</v>
      </c>
      <c r="H77" s="65" t="s">
        <v>37</v>
      </c>
      <c r="L77" s="49">
        <f>ROUND(G77/$G$154,4)</f>
        <v>0.0008</v>
      </c>
    </row>
    <row r="78" spans="1:12" s="40" customFormat="1" ht="90">
      <c r="A78" s="50" t="s">
        <v>259</v>
      </c>
      <c r="B78" s="50" t="s">
        <v>260</v>
      </c>
      <c r="C78" s="64" t="s">
        <v>261</v>
      </c>
      <c r="D78" s="53" t="s">
        <v>27</v>
      </c>
      <c r="E78" s="54">
        <v>1</v>
      </c>
      <c r="F78" s="54">
        <v>9305.2</v>
      </c>
      <c r="G78" s="54">
        <f>ROUND(E78*F78,2)</f>
        <v>9305.2</v>
      </c>
      <c r="H78" s="65" t="s">
        <v>37</v>
      </c>
      <c r="L78" s="49">
        <f>ROUND(G78/$G$154,4)</f>
        <v>0.0008</v>
      </c>
    </row>
    <row r="79" spans="1:12" s="40" customFormat="1" ht="90">
      <c r="A79" s="50" t="s">
        <v>262</v>
      </c>
      <c r="B79" s="50" t="s">
        <v>263</v>
      </c>
      <c r="C79" s="64" t="s">
        <v>264</v>
      </c>
      <c r="D79" s="53" t="s">
        <v>27</v>
      </c>
      <c r="E79" s="54">
        <v>4</v>
      </c>
      <c r="F79" s="54">
        <v>11042.86</v>
      </c>
      <c r="G79" s="54">
        <f>ROUND(E79*F79,2)</f>
        <v>44171.44</v>
      </c>
      <c r="H79" s="55" t="s">
        <v>255</v>
      </c>
      <c r="L79" s="49">
        <f>ROUND(G79/$G$154,4)</f>
        <v>0.0039</v>
      </c>
    </row>
    <row r="80" spans="1:12" s="40" customFormat="1" ht="90">
      <c r="A80" s="50" t="s">
        <v>265</v>
      </c>
      <c r="B80" s="50" t="s">
        <v>266</v>
      </c>
      <c r="C80" s="64" t="s">
        <v>267</v>
      </c>
      <c r="D80" s="53" t="s">
        <v>27</v>
      </c>
      <c r="E80" s="54">
        <v>1</v>
      </c>
      <c r="F80" s="54">
        <v>17837.89</v>
      </c>
      <c r="G80" s="54">
        <f>ROUND(E80*F80,2)</f>
        <v>17837.89</v>
      </c>
      <c r="H80" s="65" t="s">
        <v>37</v>
      </c>
      <c r="L80" s="49">
        <f>ROUND(G80/$G$154,4)</f>
        <v>0.0016</v>
      </c>
    </row>
    <row r="81" spans="1:12" s="40" customFormat="1" ht="90">
      <c r="A81" s="50" t="s">
        <v>268</v>
      </c>
      <c r="B81" s="50" t="s">
        <v>269</v>
      </c>
      <c r="C81" s="64" t="s">
        <v>270</v>
      </c>
      <c r="D81" s="53" t="s">
        <v>27</v>
      </c>
      <c r="E81" s="54">
        <v>3</v>
      </c>
      <c r="F81" s="54">
        <v>21965.28</v>
      </c>
      <c r="G81" s="54">
        <f>ROUND(E81*F81,2)</f>
        <v>65895.84</v>
      </c>
      <c r="H81" s="65" t="s">
        <v>271</v>
      </c>
      <c r="L81" s="49">
        <f>ROUND(G81/$G$154,4)</f>
        <v>0.0058</v>
      </c>
    </row>
    <row r="82" spans="1:12" s="40" customFormat="1" ht="90">
      <c r="A82" s="50" t="s">
        <v>272</v>
      </c>
      <c r="B82" s="50" t="s">
        <v>273</v>
      </c>
      <c r="C82" s="64" t="s">
        <v>274</v>
      </c>
      <c r="D82" s="53" t="s">
        <v>27</v>
      </c>
      <c r="E82" s="54">
        <v>1</v>
      </c>
      <c r="F82" s="54">
        <v>22355.32</v>
      </c>
      <c r="G82" s="54">
        <f>ROUND(E82*F82,2)</f>
        <v>22355.32</v>
      </c>
      <c r="H82" s="55" t="s">
        <v>37</v>
      </c>
      <c r="L82" s="49">
        <f>ROUND(G82/$G$154,4)</f>
        <v>0.002</v>
      </c>
    </row>
    <row r="83" spans="1:12" s="40" customFormat="1" ht="67.5">
      <c r="A83" s="50" t="s">
        <v>275</v>
      </c>
      <c r="B83" s="50" t="s">
        <v>276</v>
      </c>
      <c r="C83" s="64" t="s">
        <v>277</v>
      </c>
      <c r="D83" s="53" t="s">
        <v>27</v>
      </c>
      <c r="E83" s="54">
        <f>ROUND(SUM(E70:E82),2)</f>
        <v>84</v>
      </c>
      <c r="F83" s="54">
        <v>417.05</v>
      </c>
      <c r="G83" s="54">
        <f>ROUND(E83*F83,2)</f>
        <v>35032.2</v>
      </c>
      <c r="H83" s="65" t="s">
        <v>278</v>
      </c>
      <c r="L83" s="49">
        <f>ROUND(G83/$G$154,4)</f>
        <v>0.0031</v>
      </c>
    </row>
    <row r="84" spans="1:12" s="40" customFormat="1" ht="45">
      <c r="A84" s="50" t="s">
        <v>279</v>
      </c>
      <c r="B84" s="50" t="s">
        <v>280</v>
      </c>
      <c r="C84" s="64" t="s">
        <v>281</v>
      </c>
      <c r="D84" s="53" t="s">
        <v>107</v>
      </c>
      <c r="E84" s="54">
        <f>ROUND(175*(1*0.5*1)+SUM(E70:E82)*2*2*2,2)</f>
        <v>759.5</v>
      </c>
      <c r="F84" s="54">
        <v>50.21</v>
      </c>
      <c r="G84" s="54">
        <f>ROUND(E84*F84,2)</f>
        <v>38134.5</v>
      </c>
      <c r="H84" s="65" t="s">
        <v>282</v>
      </c>
      <c r="L84" s="49">
        <f>ROUND(G84/$G$154,4)</f>
        <v>0.0034</v>
      </c>
    </row>
    <row r="85" spans="1:12" s="40" customFormat="1" ht="46.5" customHeight="1">
      <c r="A85" s="50" t="s">
        <v>283</v>
      </c>
      <c r="B85" s="50" t="s">
        <v>284</v>
      </c>
      <c r="C85" s="64" t="s">
        <v>285</v>
      </c>
      <c r="D85" s="53" t="s">
        <v>107</v>
      </c>
      <c r="E85" s="54">
        <f>ROUND((E65*1*1.5)+(E66*1.2*1.5)+(E67*1.5*1.5)+(E68*2*1.5)+(E69*2.5*1.5),2)</f>
        <v>6851.7</v>
      </c>
      <c r="F85" s="54">
        <v>7.38</v>
      </c>
      <c r="G85" s="54">
        <f>ROUND(E85*F85,2)</f>
        <v>50565.55</v>
      </c>
      <c r="H85" s="65" t="s">
        <v>286</v>
      </c>
      <c r="L85" s="49">
        <f>ROUND(G85/$G$154,4)</f>
        <v>0.0045</v>
      </c>
    </row>
    <row r="86" spans="1:12" s="40" customFormat="1" ht="45">
      <c r="A86" s="50" t="s">
        <v>287</v>
      </c>
      <c r="B86" s="50" t="s">
        <v>288</v>
      </c>
      <c r="C86" s="64" t="s">
        <v>289</v>
      </c>
      <c r="D86" s="53" t="s">
        <v>107</v>
      </c>
      <c r="E86" s="54">
        <f>ROUND((E66*1.2*1.5)+(E67*1.5*1.5)+(E68*2*1.5)+(E69*2.5*1.5),2)</f>
        <v>4428.45</v>
      </c>
      <c r="F86" s="54">
        <v>8.43</v>
      </c>
      <c r="G86" s="54">
        <f>ROUND(E86*F86,2)</f>
        <v>37331.83</v>
      </c>
      <c r="H86" s="65" t="s">
        <v>290</v>
      </c>
      <c r="L86" s="49">
        <f>ROUND(G86/$G$154,4)</f>
        <v>0.0033</v>
      </c>
    </row>
    <row r="87" spans="1:12" s="40" customFormat="1" ht="45">
      <c r="A87" s="50" t="s">
        <v>291</v>
      </c>
      <c r="B87" s="50" t="s">
        <v>292</v>
      </c>
      <c r="C87" s="64" t="s">
        <v>293</v>
      </c>
      <c r="D87" s="53" t="s">
        <v>107</v>
      </c>
      <c r="E87" s="54">
        <f>ROUND((E69*2.5*1),2)</f>
        <v>492.5</v>
      </c>
      <c r="F87" s="54">
        <v>12.44</v>
      </c>
      <c r="G87" s="54">
        <f>ROUND(E87*F87,2)</f>
        <v>6126.7</v>
      </c>
      <c r="H87" s="65" t="s">
        <v>294</v>
      </c>
      <c r="L87" s="49">
        <f>ROUND(G87/$G$154,4)</f>
        <v>0.0005</v>
      </c>
    </row>
    <row r="88" spans="1:12" s="62" customFormat="1" ht="33.75">
      <c r="A88" s="50" t="s">
        <v>295</v>
      </c>
      <c r="B88" s="63" t="s">
        <v>296</v>
      </c>
      <c r="C88" s="66" t="s">
        <v>297</v>
      </c>
      <c r="D88" s="59" t="s">
        <v>107</v>
      </c>
      <c r="E88" s="60">
        <f>ROUND(SUM(E84:E87)*80%,2)</f>
        <v>10025.72</v>
      </c>
      <c r="F88" s="60">
        <v>11.6</v>
      </c>
      <c r="G88" s="60">
        <f>ROUND(E88*F88,2)</f>
        <v>116298.35</v>
      </c>
      <c r="H88" s="65" t="s">
        <v>298</v>
      </c>
      <c r="L88" s="49">
        <f>ROUND(G88/$G$154,4)</f>
        <v>0.0103</v>
      </c>
    </row>
    <row r="89" spans="1:12" s="40" customFormat="1" ht="67.5">
      <c r="A89" s="50" t="s">
        <v>299</v>
      </c>
      <c r="B89" s="50" t="s">
        <v>91</v>
      </c>
      <c r="C89" s="66" t="s">
        <v>92</v>
      </c>
      <c r="D89" s="59" t="s">
        <v>93</v>
      </c>
      <c r="E89" s="54">
        <f>ROUND((SUM(E84+E85+E86+E87)-E88)*1.25*1.4*10,2)</f>
        <v>43862.53</v>
      </c>
      <c r="F89" s="60">
        <v>0.91</v>
      </c>
      <c r="G89" s="60">
        <f>ROUND(E89*F89,2)</f>
        <v>39914.9</v>
      </c>
      <c r="H89" s="55" t="s">
        <v>300</v>
      </c>
      <c r="L89" s="49">
        <f>ROUND(G89/$G$154,4)</f>
        <v>0.0035</v>
      </c>
    </row>
    <row r="90" spans="1:12" s="40" customFormat="1" ht="11.25">
      <c r="A90" s="50"/>
      <c r="B90" s="50"/>
      <c r="C90" s="64"/>
      <c r="D90" s="53"/>
      <c r="E90" s="54"/>
      <c r="F90" s="54"/>
      <c r="G90" s="54"/>
      <c r="H90" s="55"/>
      <c r="L90" s="49"/>
    </row>
    <row r="91" spans="1:12" s="40" customFormat="1" ht="13.5" customHeight="1">
      <c r="A91" s="42" t="s">
        <v>301</v>
      </c>
      <c r="B91" s="42"/>
      <c r="C91" s="43" t="s">
        <v>302</v>
      </c>
      <c r="D91" s="44"/>
      <c r="E91" s="46"/>
      <c r="F91" s="46"/>
      <c r="G91" s="46">
        <f>SUM(G92:G126)</f>
        <v>1088757.9</v>
      </c>
      <c r="H91" s="47"/>
      <c r="L91" s="49"/>
    </row>
    <row r="92" spans="1:12" s="40" customFormat="1" ht="33.75">
      <c r="A92" s="50" t="s">
        <v>303</v>
      </c>
      <c r="B92" s="50" t="s">
        <v>304</v>
      </c>
      <c r="C92" s="64" t="s">
        <v>305</v>
      </c>
      <c r="D92" s="53" t="s">
        <v>71</v>
      </c>
      <c r="E92" s="54">
        <v>500</v>
      </c>
      <c r="F92" s="54">
        <v>4.87</v>
      </c>
      <c r="G92" s="54">
        <f>ROUND(E92*F92,2)</f>
        <v>2435</v>
      </c>
      <c r="H92" s="55" t="s">
        <v>306</v>
      </c>
      <c r="L92" s="49">
        <f>ROUND(G92/$G$154,4)</f>
        <v>0.0002</v>
      </c>
    </row>
    <row r="93" spans="1:12" s="40" customFormat="1" ht="33.75">
      <c r="A93" s="50" t="s">
        <v>307</v>
      </c>
      <c r="B93" s="50" t="s">
        <v>308</v>
      </c>
      <c r="C93" s="64" t="s">
        <v>309</v>
      </c>
      <c r="D93" s="53" t="s">
        <v>71</v>
      </c>
      <c r="E93" s="54">
        <v>500</v>
      </c>
      <c r="F93" s="54">
        <v>7.43</v>
      </c>
      <c r="G93" s="54">
        <f>ROUND(E93*F93,2)</f>
        <v>3715</v>
      </c>
      <c r="H93" s="55" t="s">
        <v>306</v>
      </c>
      <c r="L93" s="49">
        <f>ROUND(G93/$G$154,4)</f>
        <v>0.0003</v>
      </c>
    </row>
    <row r="94" spans="1:12" s="40" customFormat="1" ht="33.75">
      <c r="A94" s="50" t="s">
        <v>310</v>
      </c>
      <c r="B94" s="50" t="s">
        <v>311</v>
      </c>
      <c r="C94" s="64" t="s">
        <v>312</v>
      </c>
      <c r="D94" s="53" t="s">
        <v>71</v>
      </c>
      <c r="E94" s="54">
        <v>2000</v>
      </c>
      <c r="F94" s="54">
        <v>33.69</v>
      </c>
      <c r="G94" s="54">
        <f>ROUND(E94*F94,2)</f>
        <v>67380</v>
      </c>
      <c r="H94" s="55" t="s">
        <v>313</v>
      </c>
      <c r="L94" s="49">
        <f>ROUND(G94/$G$154,4)</f>
        <v>0.0059</v>
      </c>
    </row>
    <row r="95" spans="1:12" s="40" customFormat="1" ht="102" customHeight="1">
      <c r="A95" s="50" t="s">
        <v>314</v>
      </c>
      <c r="B95" s="50" t="s">
        <v>315</v>
      </c>
      <c r="C95" s="64" t="s">
        <v>316</v>
      </c>
      <c r="D95" s="53" t="s">
        <v>71</v>
      </c>
      <c r="E95" s="54">
        <f>E94</f>
        <v>2000</v>
      </c>
      <c r="F95" s="54">
        <v>2.35</v>
      </c>
      <c r="G95" s="54">
        <f>ROUND(E95*F95,2)</f>
        <v>4700</v>
      </c>
      <c r="H95" s="55" t="s">
        <v>313</v>
      </c>
      <c r="L95" s="49">
        <f>ROUND(G95/$G$154,4)</f>
        <v>0.0004</v>
      </c>
    </row>
    <row r="96" spans="1:12" s="40" customFormat="1" ht="44.25" customHeight="1">
      <c r="A96" s="50" t="s">
        <v>317</v>
      </c>
      <c r="B96" s="50" t="s">
        <v>318</v>
      </c>
      <c r="C96" s="64" t="s">
        <v>319</v>
      </c>
      <c r="D96" s="53" t="s">
        <v>71</v>
      </c>
      <c r="E96" s="54">
        <v>1000</v>
      </c>
      <c r="F96" s="54">
        <v>68.09</v>
      </c>
      <c r="G96" s="54">
        <f>ROUND(E96*F96,2)</f>
        <v>68090</v>
      </c>
      <c r="H96" s="55" t="s">
        <v>320</v>
      </c>
      <c r="L96" s="49">
        <f>ROUND(G96/$G$154,4)</f>
        <v>0.006</v>
      </c>
    </row>
    <row r="97" spans="1:12" s="40" customFormat="1" ht="100.5" customHeight="1">
      <c r="A97" s="50" t="s">
        <v>321</v>
      </c>
      <c r="B97" s="50" t="s">
        <v>322</v>
      </c>
      <c r="C97" s="64" t="s">
        <v>323</v>
      </c>
      <c r="D97" s="53" t="s">
        <v>71</v>
      </c>
      <c r="E97" s="54">
        <f>E96</f>
        <v>1000</v>
      </c>
      <c r="F97" s="54">
        <v>4.07</v>
      </c>
      <c r="G97" s="54">
        <f>ROUND(E97*F97,2)</f>
        <v>4070</v>
      </c>
      <c r="H97" s="55" t="s">
        <v>320</v>
      </c>
      <c r="L97" s="49">
        <f>ROUND(G97/$G$154,4)</f>
        <v>0.0004</v>
      </c>
    </row>
    <row r="98" spans="1:12" s="40" customFormat="1" ht="33.75">
      <c r="A98" s="50" t="s">
        <v>324</v>
      </c>
      <c r="B98" s="50" t="s">
        <v>325</v>
      </c>
      <c r="C98" s="64" t="s">
        <v>326</v>
      </c>
      <c r="D98" s="53" t="s">
        <v>71</v>
      </c>
      <c r="E98" s="54">
        <v>500</v>
      </c>
      <c r="F98" s="54">
        <v>51.72</v>
      </c>
      <c r="G98" s="54">
        <f>ROUND(E98*F98,2)</f>
        <v>25860</v>
      </c>
      <c r="H98" s="55" t="s">
        <v>306</v>
      </c>
      <c r="L98" s="49">
        <f>ROUND(G98/$G$154,4)</f>
        <v>0.0023</v>
      </c>
    </row>
    <row r="99" spans="1:12" s="40" customFormat="1" ht="33.75">
      <c r="A99" s="50" t="s">
        <v>327</v>
      </c>
      <c r="B99" s="50" t="s">
        <v>328</v>
      </c>
      <c r="C99" s="64" t="s">
        <v>329</v>
      </c>
      <c r="D99" s="53" t="s">
        <v>71</v>
      </c>
      <c r="E99" s="54">
        <v>2000</v>
      </c>
      <c r="F99" s="54">
        <v>105.04</v>
      </c>
      <c r="G99" s="54">
        <f>ROUND(E99*F99,2)</f>
        <v>210080</v>
      </c>
      <c r="H99" s="55" t="s">
        <v>313</v>
      </c>
      <c r="L99" s="49">
        <f>ROUND(G99/$G$154,4)</f>
        <v>0.0185</v>
      </c>
    </row>
    <row r="100" spans="1:12" s="40" customFormat="1" ht="33.75">
      <c r="A100" s="50" t="s">
        <v>330</v>
      </c>
      <c r="B100" s="50" t="s">
        <v>331</v>
      </c>
      <c r="C100" s="64" t="s">
        <v>332</v>
      </c>
      <c r="D100" s="53" t="s">
        <v>71</v>
      </c>
      <c r="E100" s="54">
        <v>1000</v>
      </c>
      <c r="F100" s="54">
        <v>171.02</v>
      </c>
      <c r="G100" s="54">
        <f>ROUND(E100*F100,2)</f>
        <v>171020</v>
      </c>
      <c r="H100" s="39" t="s">
        <v>320</v>
      </c>
      <c r="L100" s="49">
        <f>ROUND(G100/$G$154,4)</f>
        <v>0.0151</v>
      </c>
    </row>
    <row r="101" spans="1:12" s="40" customFormat="1" ht="67.5">
      <c r="A101" s="50" t="s">
        <v>333</v>
      </c>
      <c r="B101" s="50" t="s">
        <v>334</v>
      </c>
      <c r="C101" s="64" t="s">
        <v>335</v>
      </c>
      <c r="D101" s="53" t="s">
        <v>71</v>
      </c>
      <c r="E101" s="54">
        <f>E98</f>
        <v>500</v>
      </c>
      <c r="F101" s="54">
        <v>6.82</v>
      </c>
      <c r="G101" s="54">
        <f>ROUND(E101*F101,2)</f>
        <v>3410</v>
      </c>
      <c r="H101" s="39" t="s">
        <v>306</v>
      </c>
      <c r="L101" s="49">
        <f>ROUND(G101/$G$154,4)</f>
        <v>0.0003</v>
      </c>
    </row>
    <row r="102" spans="1:12" s="40" customFormat="1" ht="67.5">
      <c r="A102" s="50" t="s">
        <v>336</v>
      </c>
      <c r="B102" s="50" t="s">
        <v>337</v>
      </c>
      <c r="C102" s="64" t="s">
        <v>338</v>
      </c>
      <c r="D102" s="53" t="s">
        <v>71</v>
      </c>
      <c r="E102" s="54">
        <f>E99</f>
        <v>2000</v>
      </c>
      <c r="F102" s="54">
        <v>9.35</v>
      </c>
      <c r="G102" s="54">
        <f>ROUND(E102*F102,2)</f>
        <v>18700</v>
      </c>
      <c r="H102" s="55" t="s">
        <v>339</v>
      </c>
      <c r="L102" s="49">
        <f>ROUND(G102/$G$154,4)</f>
        <v>0.0016</v>
      </c>
    </row>
    <row r="103" spans="1:12" s="40" customFormat="1" ht="67.5">
      <c r="A103" s="50" t="s">
        <v>340</v>
      </c>
      <c r="B103" s="50" t="s">
        <v>341</v>
      </c>
      <c r="C103" s="64" t="s">
        <v>342</v>
      </c>
      <c r="D103" s="53" t="s">
        <v>71</v>
      </c>
      <c r="E103" s="54">
        <f>E100</f>
        <v>1000</v>
      </c>
      <c r="F103" s="54">
        <v>11.89</v>
      </c>
      <c r="G103" s="54">
        <f>ROUND(E103*F103,2)</f>
        <v>11890</v>
      </c>
      <c r="H103" s="55" t="s">
        <v>343</v>
      </c>
      <c r="L103" s="49">
        <f>ROUND(G103/$G$154,4)</f>
        <v>0.001</v>
      </c>
    </row>
    <row r="104" spans="1:12" s="40" customFormat="1" ht="33.75">
      <c r="A104" s="50" t="s">
        <v>344</v>
      </c>
      <c r="B104" s="50" t="s">
        <v>345</v>
      </c>
      <c r="C104" s="64" t="s">
        <v>346</v>
      </c>
      <c r="D104" s="53" t="s">
        <v>27</v>
      </c>
      <c r="E104" s="54">
        <v>200</v>
      </c>
      <c r="F104" s="54">
        <v>12.87</v>
      </c>
      <c r="G104" s="54">
        <f>ROUND(E104*F104,2)</f>
        <v>2574</v>
      </c>
      <c r="H104" s="55" t="s">
        <v>347</v>
      </c>
      <c r="L104" s="49">
        <f>ROUND(G104/$G$154,4)</f>
        <v>0.0002</v>
      </c>
    </row>
    <row r="105" spans="1:12" s="40" customFormat="1" ht="34.5" customHeight="1">
      <c r="A105" s="50" t="s">
        <v>348</v>
      </c>
      <c r="B105" s="50" t="s">
        <v>349</v>
      </c>
      <c r="C105" s="64" t="s">
        <v>350</v>
      </c>
      <c r="D105" s="53" t="s">
        <v>27</v>
      </c>
      <c r="E105" s="54">
        <v>200</v>
      </c>
      <c r="F105" s="54">
        <v>49.1</v>
      </c>
      <c r="G105" s="54">
        <f>ROUND(E105*F105,2)</f>
        <v>9820</v>
      </c>
      <c r="H105" s="55" t="s">
        <v>347</v>
      </c>
      <c r="L105" s="49">
        <f>ROUND(G105/$G$154,4)</f>
        <v>0.0009</v>
      </c>
    </row>
    <row r="106" spans="1:12" s="40" customFormat="1" ht="45">
      <c r="A106" s="50" t="s">
        <v>351</v>
      </c>
      <c r="B106" s="50" t="s">
        <v>352</v>
      </c>
      <c r="C106" s="64" t="s">
        <v>353</v>
      </c>
      <c r="D106" s="53" t="s">
        <v>27</v>
      </c>
      <c r="E106" s="54">
        <v>300</v>
      </c>
      <c r="F106" s="54">
        <v>48.47</v>
      </c>
      <c r="G106" s="54">
        <f>ROUND(E106*F106,2)</f>
        <v>14541</v>
      </c>
      <c r="H106" s="55" t="s">
        <v>347</v>
      </c>
      <c r="L106" s="49">
        <f>ROUND(G106/$G$154,4)</f>
        <v>0.0013</v>
      </c>
    </row>
    <row r="107" spans="1:12" s="40" customFormat="1" ht="22.5">
      <c r="A107" s="50" t="s">
        <v>354</v>
      </c>
      <c r="B107" s="50" t="s">
        <v>355</v>
      </c>
      <c r="C107" s="64" t="s">
        <v>356</v>
      </c>
      <c r="D107" s="53" t="s">
        <v>60</v>
      </c>
      <c r="E107" s="54">
        <v>6</v>
      </c>
      <c r="F107" s="54">
        <v>3486.56</v>
      </c>
      <c r="G107" s="54">
        <f>ROUND(E107*F107,2)</f>
        <v>20919.36</v>
      </c>
      <c r="H107" s="39" t="s">
        <v>357</v>
      </c>
      <c r="L107" s="49">
        <f>ROUND(G107/$G$154,4)</f>
        <v>0.0018</v>
      </c>
    </row>
    <row r="108" spans="1:12" s="40" customFormat="1" ht="22.5">
      <c r="A108" s="50" t="s">
        <v>358</v>
      </c>
      <c r="B108" s="50" t="s">
        <v>359</v>
      </c>
      <c r="C108" s="64" t="s">
        <v>360</v>
      </c>
      <c r="D108" s="53" t="s">
        <v>60</v>
      </c>
      <c r="E108" s="54">
        <v>6</v>
      </c>
      <c r="F108" s="54">
        <v>2523.84</v>
      </c>
      <c r="G108" s="54">
        <f>ROUND(E108*F108,2)</f>
        <v>15143.04</v>
      </c>
      <c r="H108" s="39" t="s">
        <v>357</v>
      </c>
      <c r="L108" s="49">
        <f>ROUND(G108/$G$154,4)</f>
        <v>0.0013</v>
      </c>
    </row>
    <row r="109" spans="1:12" s="40" customFormat="1" ht="56.25">
      <c r="A109" s="50" t="s">
        <v>361</v>
      </c>
      <c r="B109" s="50" t="s">
        <v>362</v>
      </c>
      <c r="C109" s="64" t="s">
        <v>363</v>
      </c>
      <c r="D109" s="53" t="s">
        <v>17</v>
      </c>
      <c r="E109" s="54">
        <f>ROUND(4000*1.2,2)</f>
        <v>4800</v>
      </c>
      <c r="F109" s="54">
        <v>1.1</v>
      </c>
      <c r="G109" s="54">
        <f>ROUND(E109*F109,2)</f>
        <v>5280</v>
      </c>
      <c r="H109" s="39" t="s">
        <v>364</v>
      </c>
      <c r="L109" s="49">
        <f>ROUND(G109/$G$154,4)</f>
        <v>0.0005</v>
      </c>
    </row>
    <row r="110" spans="1:12" s="62" customFormat="1" ht="78.75">
      <c r="A110" s="63" t="s">
        <v>365</v>
      </c>
      <c r="B110" s="63" t="s">
        <v>366</v>
      </c>
      <c r="C110" s="66" t="s">
        <v>367</v>
      </c>
      <c r="D110" s="59" t="s">
        <v>27</v>
      </c>
      <c r="E110" s="60">
        <v>150</v>
      </c>
      <c r="F110" s="60" t="s">
        <v>368</v>
      </c>
      <c r="G110" s="60">
        <f>ROUND(E110*F110,2)</f>
        <v>86143.5</v>
      </c>
      <c r="H110" s="61" t="s">
        <v>369</v>
      </c>
      <c r="L110" s="49">
        <f>ROUND(G110/$G$154,4)</f>
        <v>0.0076</v>
      </c>
    </row>
    <row r="111" spans="1:12" s="40" customFormat="1" ht="56.25">
      <c r="A111" s="50" t="s">
        <v>370</v>
      </c>
      <c r="B111" s="50" t="s">
        <v>371</v>
      </c>
      <c r="C111" s="64" t="s">
        <v>372</v>
      </c>
      <c r="D111" s="53" t="s">
        <v>27</v>
      </c>
      <c r="E111" s="54">
        <v>8</v>
      </c>
      <c r="F111" s="54">
        <v>1249.35</v>
      </c>
      <c r="G111" s="54">
        <f>ROUND(E111*F111,2)</f>
        <v>9994.8</v>
      </c>
      <c r="H111" s="55" t="s">
        <v>373</v>
      </c>
      <c r="L111" s="49">
        <f>ROUND(G111/$G$154,4)</f>
        <v>0.0009</v>
      </c>
    </row>
    <row r="112" spans="1:12" s="40" customFormat="1" ht="56.25">
      <c r="A112" s="50" t="s">
        <v>374</v>
      </c>
      <c r="B112" s="50" t="s">
        <v>375</v>
      </c>
      <c r="C112" s="64" t="s">
        <v>376</v>
      </c>
      <c r="D112" s="53" t="s">
        <v>27</v>
      </c>
      <c r="E112" s="54">
        <v>10</v>
      </c>
      <c r="F112" s="54">
        <v>1426.48</v>
      </c>
      <c r="G112" s="54">
        <f>ROUND(E112*F112,2)</f>
        <v>14264.8</v>
      </c>
      <c r="H112" s="55" t="s">
        <v>377</v>
      </c>
      <c r="L112" s="49">
        <f>ROUND(G112/$G$154,4)</f>
        <v>0.0013</v>
      </c>
    </row>
    <row r="113" spans="1:12" s="40" customFormat="1" ht="56.25">
      <c r="A113" s="50" t="s">
        <v>378</v>
      </c>
      <c r="B113" s="50" t="s">
        <v>379</v>
      </c>
      <c r="C113" s="64" t="s">
        <v>380</v>
      </c>
      <c r="D113" s="53" t="s">
        <v>27</v>
      </c>
      <c r="E113" s="54">
        <v>12</v>
      </c>
      <c r="F113" s="54">
        <v>1460.95</v>
      </c>
      <c r="G113" s="54">
        <f>ROUND(E113*F113,2)</f>
        <v>17531.4</v>
      </c>
      <c r="H113" s="55" t="s">
        <v>381</v>
      </c>
      <c r="L113" s="49">
        <f>ROUND(G113/$G$154,4)</f>
        <v>0.0015</v>
      </c>
    </row>
    <row r="114" spans="1:12" s="40" customFormat="1" ht="56.25">
      <c r="A114" s="50" t="s">
        <v>382</v>
      </c>
      <c r="B114" s="50" t="s">
        <v>383</v>
      </c>
      <c r="C114" s="64" t="s">
        <v>384</v>
      </c>
      <c r="D114" s="53" t="s">
        <v>27</v>
      </c>
      <c r="E114" s="54">
        <v>10</v>
      </c>
      <c r="F114" s="54">
        <v>1774.11</v>
      </c>
      <c r="G114" s="54">
        <f>ROUND(E114*F114,2)</f>
        <v>17741.1</v>
      </c>
      <c r="H114" s="55" t="s">
        <v>377</v>
      </c>
      <c r="L114" s="49">
        <f>ROUND(G114/$G$154,4)</f>
        <v>0.0016</v>
      </c>
    </row>
    <row r="115" spans="1:12" s="40" customFormat="1" ht="56.25">
      <c r="A115" s="50" t="s">
        <v>385</v>
      </c>
      <c r="B115" s="50" t="s">
        <v>386</v>
      </c>
      <c r="C115" s="64" t="s">
        <v>387</v>
      </c>
      <c r="D115" s="53" t="s">
        <v>27</v>
      </c>
      <c r="E115" s="54">
        <v>10</v>
      </c>
      <c r="F115" s="54">
        <v>2030.3</v>
      </c>
      <c r="G115" s="54">
        <f>ROUND(E115*F115,2)</f>
        <v>20303</v>
      </c>
      <c r="H115" s="55" t="s">
        <v>377</v>
      </c>
      <c r="L115" s="49">
        <f>ROUND(G115/$G$154,4)</f>
        <v>0.0018</v>
      </c>
    </row>
    <row r="116" spans="1:12" s="40" customFormat="1" ht="56.25">
      <c r="A116" s="50" t="s">
        <v>388</v>
      </c>
      <c r="B116" s="50" t="s">
        <v>389</v>
      </c>
      <c r="C116" s="64" t="s">
        <v>390</v>
      </c>
      <c r="D116" s="53" t="s">
        <v>27</v>
      </c>
      <c r="E116" s="54">
        <v>8</v>
      </c>
      <c r="F116" s="54">
        <v>2469.37</v>
      </c>
      <c r="G116" s="54">
        <f>ROUND(E116*F116,2)</f>
        <v>19754.96</v>
      </c>
      <c r="H116" s="55" t="s">
        <v>373</v>
      </c>
      <c r="L116" s="49">
        <f>ROUND(G116/$G$154,4)</f>
        <v>0.0017</v>
      </c>
    </row>
    <row r="117" spans="1:12" s="40" customFormat="1" ht="56.25">
      <c r="A117" s="50" t="s">
        <v>391</v>
      </c>
      <c r="B117" s="50" t="s">
        <v>392</v>
      </c>
      <c r="C117" s="64" t="s">
        <v>393</v>
      </c>
      <c r="D117" s="53" t="s">
        <v>27</v>
      </c>
      <c r="E117" s="54">
        <v>6</v>
      </c>
      <c r="F117" s="54">
        <v>2908.43</v>
      </c>
      <c r="G117" s="54">
        <f>ROUND(E117*F117,2)</f>
        <v>17450.58</v>
      </c>
      <c r="H117" s="55" t="s">
        <v>394</v>
      </c>
      <c r="L117" s="49">
        <f>ROUND(G117/$G$154,4)</f>
        <v>0.0015</v>
      </c>
    </row>
    <row r="118" spans="1:12" s="40" customFormat="1" ht="56.25" customHeight="1">
      <c r="A118" s="50" t="s">
        <v>395</v>
      </c>
      <c r="B118" s="50" t="s">
        <v>396</v>
      </c>
      <c r="C118" s="64" t="s">
        <v>397</v>
      </c>
      <c r="D118" s="53" t="s">
        <v>27</v>
      </c>
      <c r="E118" s="54">
        <v>4</v>
      </c>
      <c r="F118" s="54">
        <v>3347.49</v>
      </c>
      <c r="G118" s="54">
        <f>ROUND(E118*F118,2)</f>
        <v>13389.96</v>
      </c>
      <c r="H118" s="55" t="s">
        <v>255</v>
      </c>
      <c r="L118" s="49">
        <f>ROUND(G118/$G$154,4)</f>
        <v>0.0012</v>
      </c>
    </row>
    <row r="119" spans="1:12" s="40" customFormat="1" ht="67.5">
      <c r="A119" s="50" t="s">
        <v>398</v>
      </c>
      <c r="B119" s="50" t="s">
        <v>276</v>
      </c>
      <c r="C119" s="64" t="s">
        <v>277</v>
      </c>
      <c r="D119" s="53" t="s">
        <v>27</v>
      </c>
      <c r="E119" s="54">
        <f>ROUND(SUM(E111:E118),2)</f>
        <v>68</v>
      </c>
      <c r="F119" s="54">
        <v>417.05</v>
      </c>
      <c r="G119" s="54">
        <f>ROUND(E119*F119,2)</f>
        <v>28359.4</v>
      </c>
      <c r="H119" s="55" t="s">
        <v>399</v>
      </c>
      <c r="L119" s="49">
        <f>ROUND(G119/$G$154,4)</f>
        <v>0.0025</v>
      </c>
    </row>
    <row r="120" spans="1:12" s="62" customFormat="1" ht="56.25">
      <c r="A120" s="63" t="s">
        <v>400</v>
      </c>
      <c r="B120" s="63" t="s">
        <v>401</v>
      </c>
      <c r="C120" s="66" t="s">
        <v>402</v>
      </c>
      <c r="D120" s="59" t="s">
        <v>403</v>
      </c>
      <c r="E120" s="60">
        <f>ROUND(8*22*6*2,2)</f>
        <v>2112</v>
      </c>
      <c r="F120" s="60" t="s">
        <v>404</v>
      </c>
      <c r="G120" s="60">
        <f>ROUND(E120*F120,2)</f>
        <v>65619.84</v>
      </c>
      <c r="H120" s="67" t="s">
        <v>405</v>
      </c>
      <c r="L120" s="49">
        <f>ROUND(G120/$G$154,4)</f>
        <v>0.0058</v>
      </c>
    </row>
    <row r="121" spans="1:12" s="40" customFormat="1" ht="45">
      <c r="A121" s="50" t="s">
        <v>406</v>
      </c>
      <c r="B121" s="50" t="s">
        <v>280</v>
      </c>
      <c r="C121" s="64" t="s">
        <v>281</v>
      </c>
      <c r="D121" s="53" t="s">
        <v>107</v>
      </c>
      <c r="E121" s="54">
        <f>ROUND((E111+E112+E113+E114+E115)*1.2*1.2*1,2)</f>
        <v>72</v>
      </c>
      <c r="F121" s="54">
        <v>50.21</v>
      </c>
      <c r="G121" s="54">
        <f>ROUND(E121*F121,2)</f>
        <v>3615.12</v>
      </c>
      <c r="H121" s="39" t="s">
        <v>407</v>
      </c>
      <c r="L121" s="49">
        <f>ROUND(G121/$G$154,4)</f>
        <v>0.0003</v>
      </c>
    </row>
    <row r="122" spans="1:12" s="40" customFormat="1" ht="45">
      <c r="A122" s="50" t="s">
        <v>408</v>
      </c>
      <c r="B122" s="50" t="s">
        <v>284</v>
      </c>
      <c r="C122" s="64" t="s">
        <v>285</v>
      </c>
      <c r="D122" s="53" t="s">
        <v>107</v>
      </c>
      <c r="E122" s="54">
        <f>ROUND((E94+E96)*0.3*0.6+(E98+E99+E100)*0.6*1.5,2)</f>
        <v>3690</v>
      </c>
      <c r="F122" s="54">
        <v>7.38</v>
      </c>
      <c r="G122" s="54">
        <f>ROUND(E122*F122,2)</f>
        <v>27232.2</v>
      </c>
      <c r="H122" s="39" t="s">
        <v>409</v>
      </c>
      <c r="L122" s="49">
        <f>ROUND(G122/$G$154,4)</f>
        <v>0.0024</v>
      </c>
    </row>
    <row r="123" spans="1:12" s="40" customFormat="1" ht="45">
      <c r="A123" s="50" t="s">
        <v>410</v>
      </c>
      <c r="B123" s="50" t="s">
        <v>288</v>
      </c>
      <c r="C123" s="64" t="s">
        <v>289</v>
      </c>
      <c r="D123" s="53" t="s">
        <v>107</v>
      </c>
      <c r="E123" s="54">
        <f>ROUND((E99+E100+E101)*0.6*1.5*30%,2)</f>
        <v>945</v>
      </c>
      <c r="F123" s="54">
        <v>8.43</v>
      </c>
      <c r="G123" s="54">
        <f>ROUND(E123*F123,2)</f>
        <v>7966.35</v>
      </c>
      <c r="H123" s="39" t="s">
        <v>411</v>
      </c>
      <c r="L123" s="49">
        <f>ROUND(G123/$G$154,4)</f>
        <v>0.0007</v>
      </c>
    </row>
    <row r="124" spans="1:12" s="40" customFormat="1" ht="45">
      <c r="A124" s="50" t="s">
        <v>412</v>
      </c>
      <c r="B124" s="50" t="s">
        <v>292</v>
      </c>
      <c r="C124" s="64" t="s">
        <v>293</v>
      </c>
      <c r="D124" s="53" t="s">
        <v>107</v>
      </c>
      <c r="E124" s="54">
        <f>ROUND((E98+E99+E100)*0.6*1.5*30%,2)</f>
        <v>945</v>
      </c>
      <c r="F124" s="54">
        <v>12.44</v>
      </c>
      <c r="G124" s="54">
        <f>ROUND(E124*F124,2)</f>
        <v>11755.8</v>
      </c>
      <c r="H124" s="39" t="s">
        <v>411</v>
      </c>
      <c r="L124" s="49">
        <f>ROUND(G124/$G$154,4)</f>
        <v>0.001</v>
      </c>
    </row>
    <row r="125" spans="1:12" s="40" customFormat="1" ht="33.75">
      <c r="A125" s="50" t="s">
        <v>413</v>
      </c>
      <c r="B125" s="50" t="s">
        <v>296</v>
      </c>
      <c r="C125" s="64" t="s">
        <v>297</v>
      </c>
      <c r="D125" s="53" t="s">
        <v>107</v>
      </c>
      <c r="E125" s="54">
        <f>ROUND(SUM(E121:E124)*90%,2)</f>
        <v>5086.8</v>
      </c>
      <c r="F125" s="54">
        <v>11.6</v>
      </c>
      <c r="G125" s="54">
        <f>ROUND(E125*F125,2)</f>
        <v>59006.88</v>
      </c>
      <c r="H125" s="39" t="s">
        <v>414</v>
      </c>
      <c r="L125" s="49">
        <f>ROUND(G125/$G$154,4)</f>
        <v>0.0052</v>
      </c>
    </row>
    <row r="126" spans="1:12" s="40" customFormat="1" ht="67.5">
      <c r="A126" s="50" t="s">
        <v>415</v>
      </c>
      <c r="B126" s="56" t="s">
        <v>91</v>
      </c>
      <c r="C126" s="64" t="s">
        <v>92</v>
      </c>
      <c r="D126" s="53" t="s">
        <v>93</v>
      </c>
      <c r="E126" s="54">
        <f>ROUND((SUM(E121+E122+E123+E124)-E125)*1.25*1.4*10,2)</f>
        <v>9891</v>
      </c>
      <c r="F126" s="54">
        <v>0.91</v>
      </c>
      <c r="G126" s="54">
        <f>ROUND(E126*F126,2)</f>
        <v>9000.81</v>
      </c>
      <c r="H126" s="39" t="s">
        <v>416</v>
      </c>
      <c r="L126" s="49">
        <f>ROUND(G126/$G$154,4)</f>
        <v>0.0008</v>
      </c>
    </row>
    <row r="127" spans="1:12" s="40" customFormat="1" ht="11.25">
      <c r="A127" s="50"/>
      <c r="B127" s="56"/>
      <c r="C127" s="64"/>
      <c r="D127" s="53"/>
      <c r="E127" s="54"/>
      <c r="F127" s="54"/>
      <c r="G127" s="54"/>
      <c r="H127" s="39"/>
      <c r="L127" s="49"/>
    </row>
    <row r="128" spans="1:12" s="40" customFormat="1" ht="26.25">
      <c r="A128" s="42" t="s">
        <v>417</v>
      </c>
      <c r="B128" s="42"/>
      <c r="C128" s="43" t="s">
        <v>418</v>
      </c>
      <c r="D128" s="44"/>
      <c r="E128" s="46"/>
      <c r="F128" s="46"/>
      <c r="G128" s="46">
        <f>SUM(G129:G136)</f>
        <v>179730.92</v>
      </c>
      <c r="H128" s="47"/>
      <c r="L128" s="49"/>
    </row>
    <row r="129" spans="1:12" s="40" customFormat="1" ht="34.5" customHeight="1">
      <c r="A129" s="50" t="s">
        <v>419</v>
      </c>
      <c r="B129" s="50" t="s">
        <v>420</v>
      </c>
      <c r="C129" s="64" t="s">
        <v>421</v>
      </c>
      <c r="D129" s="53" t="s">
        <v>107</v>
      </c>
      <c r="E129" s="54">
        <f>ROUND(30*60*1,2)</f>
        <v>1800</v>
      </c>
      <c r="F129" s="54">
        <v>3.79</v>
      </c>
      <c r="G129" s="54">
        <f>ROUND(E129*F129,2)</f>
        <v>6822</v>
      </c>
      <c r="H129" s="39" t="s">
        <v>422</v>
      </c>
      <c r="L129" s="49">
        <f>ROUND(G129/$G$154,4)</f>
        <v>0.0006</v>
      </c>
    </row>
    <row r="130" spans="1:12" s="40" customFormat="1" ht="45">
      <c r="A130" s="50" t="s">
        <v>423</v>
      </c>
      <c r="B130" s="50" t="s">
        <v>424</v>
      </c>
      <c r="C130" s="64" t="s">
        <v>425</v>
      </c>
      <c r="D130" s="53" t="s">
        <v>107</v>
      </c>
      <c r="E130" s="54">
        <f>ROUND(30*60*2,2)</f>
        <v>3600</v>
      </c>
      <c r="F130" s="54">
        <v>2.51</v>
      </c>
      <c r="G130" s="54">
        <f>ROUND(E130*F130,2)</f>
        <v>9036</v>
      </c>
      <c r="H130" s="39" t="s">
        <v>426</v>
      </c>
      <c r="L130" s="49">
        <f>ROUND(G130/$G$154,4)</f>
        <v>0.0008</v>
      </c>
    </row>
    <row r="131" spans="1:12" s="40" customFormat="1" ht="67.5">
      <c r="A131" s="50" t="s">
        <v>427</v>
      </c>
      <c r="B131" s="50" t="s">
        <v>428</v>
      </c>
      <c r="C131" s="64" t="s">
        <v>429</v>
      </c>
      <c r="D131" s="53" t="s">
        <v>107</v>
      </c>
      <c r="E131" s="54">
        <f>ROUND(30*60*1,2)</f>
        <v>1800</v>
      </c>
      <c r="F131" s="54">
        <v>9.94</v>
      </c>
      <c r="G131" s="54">
        <f>ROUND(E131*F131,2)</f>
        <v>17892</v>
      </c>
      <c r="H131" s="39" t="s">
        <v>422</v>
      </c>
      <c r="L131" s="49">
        <f>ROUND(G131/$G$154,4)</f>
        <v>0.0016</v>
      </c>
    </row>
    <row r="132" spans="1:12" s="40" customFormat="1" ht="33.75">
      <c r="A132" s="50" t="s">
        <v>430</v>
      </c>
      <c r="B132" s="50" t="s">
        <v>431</v>
      </c>
      <c r="C132" s="64" t="s">
        <v>432</v>
      </c>
      <c r="D132" s="53" t="s">
        <v>107</v>
      </c>
      <c r="E132" s="54">
        <f>ROUND(1200*1.5*1,2)</f>
        <v>1800</v>
      </c>
      <c r="F132" s="54">
        <v>5.77</v>
      </c>
      <c r="G132" s="54">
        <f>ROUND(E132*F132,2)</f>
        <v>10386</v>
      </c>
      <c r="H132" s="39" t="s">
        <v>433</v>
      </c>
      <c r="L132" s="49">
        <f>ROUND(G132/$G$154,4)</f>
        <v>0.0009</v>
      </c>
    </row>
    <row r="133" spans="1:12" s="40" customFormat="1" ht="56.25">
      <c r="A133" s="50" t="s">
        <v>434</v>
      </c>
      <c r="B133" s="50" t="s">
        <v>435</v>
      </c>
      <c r="C133" s="64" t="s">
        <v>436</v>
      </c>
      <c r="D133" s="53" t="s">
        <v>71</v>
      </c>
      <c r="E133" s="54">
        <f>ROUND(50+50+100+100,2)</f>
        <v>300</v>
      </c>
      <c r="F133" s="54">
        <v>40.03</v>
      </c>
      <c r="G133" s="54">
        <f>ROUND(E133*F133,2)</f>
        <v>12009</v>
      </c>
      <c r="H133" s="39" t="s">
        <v>437</v>
      </c>
      <c r="L133" s="49">
        <f>ROUND(G133/$G$154,4)</f>
        <v>0.0011</v>
      </c>
    </row>
    <row r="134" spans="1:12" s="40" customFormat="1" ht="45">
      <c r="A134" s="50" t="s">
        <v>438</v>
      </c>
      <c r="B134" s="50" t="s">
        <v>439</v>
      </c>
      <c r="C134" s="64" t="s">
        <v>440</v>
      </c>
      <c r="D134" s="53" t="s">
        <v>17</v>
      </c>
      <c r="E134" s="54">
        <f>ROUND(100*2,2)</f>
        <v>200</v>
      </c>
      <c r="F134" s="54">
        <v>13.2</v>
      </c>
      <c r="G134" s="54">
        <f>ROUND(E134*F134,2)</f>
        <v>2640</v>
      </c>
      <c r="H134" s="39" t="s">
        <v>441</v>
      </c>
      <c r="L134" s="49">
        <f>ROUND(G134/$G$154,4)</f>
        <v>0.0002</v>
      </c>
    </row>
    <row r="135" spans="1:12" s="40" customFormat="1" ht="67.5">
      <c r="A135" s="50" t="s">
        <v>442</v>
      </c>
      <c r="B135" s="51" t="s">
        <v>91</v>
      </c>
      <c r="C135" s="64" t="s">
        <v>92</v>
      </c>
      <c r="D135" s="53" t="s">
        <v>93</v>
      </c>
      <c r="E135" s="54">
        <f>ROUND(SUM(E130+E131+E129)*1.25*1.4*10,2)</f>
        <v>126000</v>
      </c>
      <c r="F135" s="54">
        <v>0.91</v>
      </c>
      <c r="G135" s="54">
        <f>ROUND(E135*F135,2)</f>
        <v>114660</v>
      </c>
      <c r="H135" s="39" t="s">
        <v>443</v>
      </c>
      <c r="L135" s="49">
        <f>ROUND(G135/$G$154,4)</f>
        <v>0.0101</v>
      </c>
    </row>
    <row r="136" spans="1:12" s="40" customFormat="1" ht="56.25">
      <c r="A136" s="50" t="s">
        <v>442</v>
      </c>
      <c r="B136" s="51" t="s">
        <v>444</v>
      </c>
      <c r="C136" s="64" t="s">
        <v>445</v>
      </c>
      <c r="D136" s="53" t="s">
        <v>17</v>
      </c>
      <c r="E136" s="54">
        <f>ROUND(4*2,2)</f>
        <v>8</v>
      </c>
      <c r="F136" s="54">
        <v>785.74</v>
      </c>
      <c r="G136" s="54">
        <f>ROUND(E136*F136,2)</f>
        <v>6285.92</v>
      </c>
      <c r="H136" s="39" t="s">
        <v>446</v>
      </c>
      <c r="L136" s="49">
        <f>ROUND(G136/$G$154,4)</f>
        <v>0.0006</v>
      </c>
    </row>
    <row r="137" spans="1:12" s="40" customFormat="1" ht="11.25">
      <c r="A137" s="50"/>
      <c r="B137" s="56"/>
      <c r="C137" s="64"/>
      <c r="D137" s="53"/>
      <c r="E137" s="54"/>
      <c r="F137" s="54"/>
      <c r="G137" s="54"/>
      <c r="H137" s="39"/>
      <c r="L137" s="49"/>
    </row>
    <row r="138" spans="1:12" s="40" customFormat="1" ht="13.5">
      <c r="A138" s="42" t="s">
        <v>447</v>
      </c>
      <c r="B138" s="42"/>
      <c r="C138" s="43" t="s">
        <v>448</v>
      </c>
      <c r="D138" s="44"/>
      <c r="E138" s="46"/>
      <c r="F138" s="46"/>
      <c r="G138" s="46">
        <f>SUM(G139:G142)</f>
        <v>127234.24</v>
      </c>
      <c r="H138" s="47"/>
      <c r="L138" s="49"/>
    </row>
    <row r="139" spans="1:12" s="40" customFormat="1" ht="90">
      <c r="A139" s="50" t="s">
        <v>449</v>
      </c>
      <c r="B139" s="50" t="s">
        <v>450</v>
      </c>
      <c r="C139" s="64" t="s">
        <v>451</v>
      </c>
      <c r="D139" s="53" t="s">
        <v>17</v>
      </c>
      <c r="E139" s="54">
        <f>ROUND(300*(0.6*0.6),2)</f>
        <v>108</v>
      </c>
      <c r="F139" s="54">
        <v>762.28</v>
      </c>
      <c r="G139" s="54">
        <f>ROUND(E139*F139,2)</f>
        <v>82326.24</v>
      </c>
      <c r="H139" s="39" t="s">
        <v>452</v>
      </c>
      <c r="L139" s="49">
        <f>ROUND(G139/$G$154,4)</f>
        <v>0.0073</v>
      </c>
    </row>
    <row r="140" spans="1:12" s="40" customFormat="1" ht="45">
      <c r="A140" s="50" t="s">
        <v>453</v>
      </c>
      <c r="B140" s="50" t="s">
        <v>454</v>
      </c>
      <c r="C140" s="64" t="s">
        <v>455</v>
      </c>
      <c r="D140" s="53" t="s">
        <v>17</v>
      </c>
      <c r="E140" s="54">
        <v>1000</v>
      </c>
      <c r="F140" s="54">
        <v>23.69</v>
      </c>
      <c r="G140" s="54">
        <f>ROUND(E140*F140,2)</f>
        <v>23690</v>
      </c>
      <c r="H140" s="39" t="s">
        <v>456</v>
      </c>
      <c r="L140" s="49">
        <f>ROUND(G140/$G$154,4)</f>
        <v>0.0021</v>
      </c>
    </row>
    <row r="141" spans="1:12" s="40" customFormat="1" ht="56.25">
      <c r="A141" s="50" t="s">
        <v>457</v>
      </c>
      <c r="B141" s="50" t="s">
        <v>458</v>
      </c>
      <c r="C141" s="64" t="s">
        <v>459</v>
      </c>
      <c r="D141" s="53" t="s">
        <v>17</v>
      </c>
      <c r="E141" s="54">
        <v>500</v>
      </c>
      <c r="F141" s="54">
        <v>37.01</v>
      </c>
      <c r="G141" s="54">
        <f>ROUND(E141*F141,2)</f>
        <v>18505</v>
      </c>
      <c r="H141" s="39" t="s">
        <v>460</v>
      </c>
      <c r="L141" s="49">
        <f>ROUND(G141/$G$154,4)</f>
        <v>0.0016</v>
      </c>
    </row>
    <row r="142" spans="1:12" s="40" customFormat="1" ht="45">
      <c r="A142" s="50" t="s">
        <v>461</v>
      </c>
      <c r="B142" s="50" t="s">
        <v>462</v>
      </c>
      <c r="C142" s="64" t="s">
        <v>463</v>
      </c>
      <c r="D142" s="53" t="s">
        <v>27</v>
      </c>
      <c r="E142" s="54">
        <v>100</v>
      </c>
      <c r="F142" s="54">
        <v>27.13</v>
      </c>
      <c r="G142" s="54">
        <f>ROUND(E142*F142,2)</f>
        <v>2713</v>
      </c>
      <c r="H142" s="39" t="s">
        <v>464</v>
      </c>
      <c r="L142" s="49">
        <f>ROUND(G142/$G$154,4)</f>
        <v>0.0002</v>
      </c>
    </row>
    <row r="143" spans="1:12" s="40" customFormat="1" ht="11.25">
      <c r="A143" s="50"/>
      <c r="B143" s="51"/>
      <c r="C143" s="64"/>
      <c r="D143" s="53"/>
      <c r="E143" s="54"/>
      <c r="F143" s="54"/>
      <c r="G143" s="54"/>
      <c r="H143" s="39"/>
      <c r="L143" s="49"/>
    </row>
    <row r="144" spans="1:12" s="40" customFormat="1" ht="13.5">
      <c r="A144" s="42" t="s">
        <v>465</v>
      </c>
      <c r="B144" s="42"/>
      <c r="C144" s="43" t="s">
        <v>466</v>
      </c>
      <c r="D144" s="44"/>
      <c r="E144" s="46"/>
      <c r="F144" s="46"/>
      <c r="G144" s="46">
        <f>SUM(G145:G149)</f>
        <v>58028.25</v>
      </c>
      <c r="H144" s="47"/>
      <c r="L144" s="49"/>
    </row>
    <row r="145" spans="1:12" s="40" customFormat="1" ht="90">
      <c r="A145" s="50" t="s">
        <v>467</v>
      </c>
      <c r="B145" s="50" t="s">
        <v>468</v>
      </c>
      <c r="C145" s="64" t="s">
        <v>469</v>
      </c>
      <c r="D145" s="53" t="s">
        <v>107</v>
      </c>
      <c r="E145" s="54">
        <v>5</v>
      </c>
      <c r="F145" s="54">
        <v>2702.66</v>
      </c>
      <c r="G145" s="54">
        <f>ROUND(E145*F145,2)</f>
        <v>13513.3</v>
      </c>
      <c r="H145" s="39" t="s">
        <v>470</v>
      </c>
      <c r="L145" s="49">
        <f>ROUND(G145/$G$154,4)</f>
        <v>0.0012</v>
      </c>
    </row>
    <row r="146" spans="1:12" s="40" customFormat="1" ht="56.25">
      <c r="A146" s="50" t="s">
        <v>471</v>
      </c>
      <c r="B146" s="51" t="s">
        <v>472</v>
      </c>
      <c r="C146" s="64" t="s">
        <v>473</v>
      </c>
      <c r="D146" s="53" t="s">
        <v>17</v>
      </c>
      <c r="E146" s="54">
        <f>ROUND(100*2,2)</f>
        <v>200</v>
      </c>
      <c r="F146" s="54">
        <v>61.83</v>
      </c>
      <c r="G146" s="54">
        <f>ROUND(E146*F146,2)</f>
        <v>12366</v>
      </c>
      <c r="H146" s="39" t="s">
        <v>474</v>
      </c>
      <c r="L146" s="49">
        <f>ROUND(G146/$G$154,4)</f>
        <v>0.0011</v>
      </c>
    </row>
    <row r="147" spans="1:12" s="40" customFormat="1" ht="56.25">
      <c r="A147" s="50" t="s">
        <v>475</v>
      </c>
      <c r="B147" s="51" t="s">
        <v>476</v>
      </c>
      <c r="C147" s="64" t="s">
        <v>477</v>
      </c>
      <c r="D147" s="53" t="s">
        <v>17</v>
      </c>
      <c r="E147" s="54">
        <f>ROUND(100*2,2)</f>
        <v>200</v>
      </c>
      <c r="F147" s="54">
        <v>67.1</v>
      </c>
      <c r="G147" s="54">
        <f>ROUND(E147*F147,2)</f>
        <v>13420</v>
      </c>
      <c r="H147" s="39" t="s">
        <v>474</v>
      </c>
      <c r="L147" s="49">
        <f>ROUND(G147/$G$154,4)</f>
        <v>0.0012</v>
      </c>
    </row>
    <row r="148" spans="1:12" s="40" customFormat="1" ht="56.25">
      <c r="A148" s="50" t="s">
        <v>478</v>
      </c>
      <c r="B148" s="51" t="s">
        <v>479</v>
      </c>
      <c r="C148" s="64" t="s">
        <v>480</v>
      </c>
      <c r="D148" s="53" t="s">
        <v>17</v>
      </c>
      <c r="E148" s="54">
        <f>ROUND(100*2*2+100*0.15,2)</f>
        <v>415</v>
      </c>
      <c r="F148" s="54">
        <v>29.5</v>
      </c>
      <c r="G148" s="54">
        <f>ROUND(E148*F148,2)</f>
        <v>12242.5</v>
      </c>
      <c r="H148" s="39" t="s">
        <v>481</v>
      </c>
      <c r="L148" s="49">
        <f>ROUND(G148/$G$154,4)</f>
        <v>0.0011</v>
      </c>
    </row>
    <row r="149" spans="1:12" s="40" customFormat="1" ht="56.25">
      <c r="A149" s="50" t="s">
        <v>482</v>
      </c>
      <c r="B149" s="50" t="s">
        <v>483</v>
      </c>
      <c r="C149" s="64" t="s">
        <v>484</v>
      </c>
      <c r="D149" s="53" t="s">
        <v>17</v>
      </c>
      <c r="E149" s="54">
        <f>E148</f>
        <v>415</v>
      </c>
      <c r="F149" s="54">
        <v>15.63</v>
      </c>
      <c r="G149" s="54">
        <f>ROUND(E149*F149,2)</f>
        <v>6486.45</v>
      </c>
      <c r="H149" s="39" t="s">
        <v>481</v>
      </c>
      <c r="L149" s="49">
        <f>ROUND(G149/$G$154,4)</f>
        <v>0.0006</v>
      </c>
    </row>
    <row r="150" spans="1:12" s="40" customFormat="1" ht="11.25">
      <c r="A150" s="50"/>
      <c r="B150" s="50"/>
      <c r="C150" s="64"/>
      <c r="D150" s="53"/>
      <c r="E150" s="54"/>
      <c r="F150" s="54"/>
      <c r="G150" s="54"/>
      <c r="H150" s="39"/>
      <c r="L150" s="49"/>
    </row>
    <row r="151" spans="1:12" s="40" customFormat="1" ht="13.5">
      <c r="A151" s="42" t="s">
        <v>485</v>
      </c>
      <c r="B151" s="42"/>
      <c r="C151" s="43" t="s">
        <v>486</v>
      </c>
      <c r="D151" s="44"/>
      <c r="E151" s="46"/>
      <c r="F151" s="46"/>
      <c r="G151" s="46">
        <f>SUM(G152)</f>
        <v>2588.6</v>
      </c>
      <c r="H151" s="47"/>
      <c r="L151" s="49"/>
    </row>
    <row r="152" spans="1:12" s="40" customFormat="1" ht="67.5">
      <c r="A152" s="50" t="s">
        <v>487</v>
      </c>
      <c r="B152" s="51" t="s">
        <v>488</v>
      </c>
      <c r="C152" s="64" t="s">
        <v>489</v>
      </c>
      <c r="D152" s="53" t="s">
        <v>27</v>
      </c>
      <c r="E152" s="54">
        <v>10</v>
      </c>
      <c r="F152" s="54">
        <v>258.86</v>
      </c>
      <c r="G152" s="54">
        <f>ROUND(E152*F152,2)</f>
        <v>2588.6</v>
      </c>
      <c r="H152" s="39" t="s">
        <v>490</v>
      </c>
      <c r="L152" s="49">
        <f>ROUND(G152/$G$154,4)</f>
        <v>0.0002</v>
      </c>
    </row>
    <row r="153" spans="1:12" s="40" customFormat="1" ht="12">
      <c r="A153" s="68"/>
      <c r="B153" s="69"/>
      <c r="C153" s="70"/>
      <c r="D153" s="71"/>
      <c r="E153" s="72"/>
      <c r="F153" s="73"/>
      <c r="G153" s="73"/>
      <c r="H153" s="39"/>
      <c r="L153" s="41"/>
    </row>
    <row r="154" spans="1:12" s="40" customFormat="1" ht="23.25" customHeight="1">
      <c r="A154" s="74"/>
      <c r="B154" s="75"/>
      <c r="C154" s="76"/>
      <c r="D154" s="77" t="s">
        <v>491</v>
      </c>
      <c r="E154" s="77"/>
      <c r="F154" s="77"/>
      <c r="G154" s="78">
        <f>SUM(G11+G25+G38+G91+G63+G128+G144+G138+G151)</f>
        <v>11336781.59</v>
      </c>
      <c r="H154" s="79"/>
      <c r="L154" s="41"/>
    </row>
    <row r="155" spans="1:8" ht="16.7" customHeight="1">
      <c r="A155" s="80"/>
      <c r="B155" s="80"/>
      <c r="C155" s="76"/>
      <c r="D155" s="81" t="s">
        <v>492</v>
      </c>
      <c r="E155" s="81"/>
      <c r="F155" s="81"/>
      <c r="G155" s="82">
        <f>ROUND(G154*0.1858,2)</f>
        <v>2106374.02</v>
      </c>
      <c r="H155" s="83"/>
    </row>
    <row r="156" spans="1:8" ht="15.75" customHeight="1">
      <c r="A156" s="80"/>
      <c r="B156" s="80"/>
      <c r="C156" s="84"/>
      <c r="D156" s="85" t="s">
        <v>493</v>
      </c>
      <c r="E156" s="85"/>
      <c r="F156" s="85"/>
      <c r="G156" s="82">
        <f>G155+G154</f>
        <v>13443155.61</v>
      </c>
      <c r="H156" s="83"/>
    </row>
    <row r="157" ht="20.1" customHeight="1"/>
  </sheetData>
  <mergeCells count="6">
    <mergeCell ref="C1:H1"/>
    <mergeCell ref="C3:H3"/>
    <mergeCell ref="C5:H5"/>
    <mergeCell ref="D154:F154"/>
    <mergeCell ref="D155:F155"/>
    <mergeCell ref="D156:F156"/>
  </mergeCells>
  <printOptions horizontalCentered="1"/>
  <pageMargins left="0.39375" right="0.315277777777778" top="0.315277777777778" bottom="0.315277777777778" header="0.511805555555555" footer="0.511805555555555"/>
  <pageSetup horizontalDpi="300" verticalDpi="300" orientation="landscape" paperSize="9" copies="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LibreOffice/6.0.4.2$Windows_x86 LibreOffice_project/9b0d9b32d5dcda91d2f1a96dc04c645c450872bf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Crespo</dc:creator>
  <cp:keywords/>
  <dc:description/>
  <cp:lastModifiedBy>Luiz Crespo</cp:lastModifiedBy>
  <dcterms:created xsi:type="dcterms:W3CDTF">2022-06-02T17:56:32Z</dcterms:created>
  <dcterms:modified xsi:type="dcterms:W3CDTF">2022-06-02T18:00:32Z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