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PLANILHA" sheetId="1" r:id="rId1"/>
    <sheet name="COMPOSIÇÃO" sheetId="2" r:id="rId2"/>
    <sheet name="BDI" sheetId="3" r:id="rId3"/>
    <sheet name="MEMÓRIA" sheetId="4" r:id="rId4"/>
    <sheet name="EXECUÇÃO" sheetId="5" r:id="rId5"/>
    <sheet name="FÍSICO-FINANCEIRO" sheetId="6" r:id="rId6"/>
    <sheet name="DESEMBOLSO" sheetId="7" r:id="rId7"/>
  </sheets>
  <definedNames>
    <definedName name="_xlnm.Print_Area" localSheetId="1">'COMPOSIÇÃO'!$A$1:$J$53</definedName>
    <definedName name="_xlnm.Print_Titles" localSheetId="1">'COMPOSIÇÃO'!$1:$6</definedName>
    <definedName name="_xlnm.Print_Area" localSheetId="3">'MEMÓRIA'!$B$1:$N$88</definedName>
    <definedName name="_xlnm.Print_Titles" localSheetId="3">'MEMÓRIA'!$1:$11</definedName>
    <definedName name="_xlnm.Print_Area" localSheetId="0">'PLANILHA'!$A$1:$M$92</definedName>
    <definedName name="_xlnm.Print_Titles" localSheetId="0">'PLANILHA'!$1:$11</definedName>
    <definedName name="Excel_BuiltIn_Print_Area" localSheetId="0">'PLANILHA'!$A$1:$M$92</definedName>
    <definedName name="Excel_BuiltIn_Print_Titles" localSheetId="0">'PLANILHA'!$1:$11</definedName>
    <definedName name="Excel_BuiltIn_Print_Area" localSheetId="1">'COMPOSIÇÃO'!$A$1:$J$53</definedName>
    <definedName name="Excel_BuiltIn_Print_Titles" localSheetId="1">'COMPOSIÇÃO'!$1:$6</definedName>
    <definedName name="Excel_BuiltIn_Print_Area" localSheetId="3">'MEMÓRIA'!$B$1:$N$88</definedName>
    <definedName name="Excel_BuiltIn_Print_Titles" localSheetId="3">'MEMÓRIA'!$1:$11</definedName>
  </definedNames>
  <calcPr fullCalcOnLoad="1"/>
</workbook>
</file>

<file path=xl/sharedStrings.xml><?xml version="1.0" encoding="utf-8"?>
<sst xmlns="http://schemas.openxmlformats.org/spreadsheetml/2006/main" count="1142" uniqueCount="398">
  <si>
    <t>ANEXO I</t>
  </si>
  <si>
    <t>SERVIÇOS DE REFORMA NA CASA DE ARTES DE MACHADINHA</t>
  </si>
  <si>
    <t>Mês/Ano referência : 04/2021</t>
  </si>
  <si>
    <t>Item</t>
  </si>
  <si>
    <t>Código</t>
  </si>
  <si>
    <t>Descrição</t>
  </si>
  <si>
    <t>Unidade</t>
  </si>
  <si>
    <t>Quantidade</t>
  </si>
  <si>
    <t>$ Unitário</t>
  </si>
  <si>
    <t>$  Parcial</t>
  </si>
  <si>
    <t>1.0</t>
  </si>
  <si>
    <t>SERVIÇOS PRELIMINARES E DIVERSOS</t>
  </si>
  <si>
    <t>MEMÓRIA DE CÁLCULO</t>
  </si>
  <si>
    <t>1.01</t>
  </si>
  <si>
    <t>02.020.0002-A</t>
  </si>
  <si>
    <t>PLACA DE IDENTIFICACAO DE OBRA PUBLICA, TIPO BANNER/PLOTTER, CONSTITUIDA POR LONA E IMPRESSAO DIGITAL, INCLUSIVE SUPORTES DE MADEIRA. FORNECIMENTO E COLOCACAO</t>
  </si>
  <si>
    <t>PLACA DE IDENTIFICACAO DE OBRA PUBLICA,INCLUSIVE PINTURA E SUPORTES DE MADEIRA.FORNECIMENTO E COLOCACAO</t>
  </si>
  <si>
    <t>M2</t>
  </si>
  <si>
    <t>2,00M X 1,00M</t>
  </si>
  <si>
    <t>1.02</t>
  </si>
  <si>
    <t>02.002.0007-A</t>
  </si>
  <si>
    <t>TAPUME DE VEDACAO OU PROTECAO EXECUTADO COM TELHAS TRAPEZOIDAIS DE ACO GALVANIZADO, ESPESSURA DE 0,5MM, ESTAS COM 4 VEZESDE UTILIZACAO, INCLUSIVE ENGRADAMENTO DE MADEIRA, UTILIZADO 2 VEZES, EXCLUSIVE PINTURA</t>
  </si>
  <si>
    <t>BARRACAO DE OBRA,COM PAREDES E PISO DE TABUAS DE MADEIRA DE3ª,COBERTURA DE TELHAS DE FIBROCIMENTO DE 6MM,E INSTALACOES,EXCLUSIVE PINTURA,SENDO REAPROVEITADO 2 VEZES</t>
  </si>
  <si>
    <t>139,00M DE PERÍMETRO X 2,00M DE ALTURA</t>
  </si>
  <si>
    <t>1.03</t>
  </si>
  <si>
    <t>02.004.0001-A</t>
  </si>
  <si>
    <t>BARRACAO DE OBRA, COM PAREDES E PISO DE TABUAS DE MADEIRA DE3ª, COBERTURA DE TELHAS DE FIBROCIMENTO DE 6MM, E INSTALACOES, EXCLUSIVE PINTURA, SENDO REAPROVEITADO 2 VEZES</t>
  </si>
  <si>
    <t>4,00M X 5,00M</t>
  </si>
  <si>
    <t>1.04</t>
  </si>
  <si>
    <t>05.105.0100-A</t>
  </si>
  <si>
    <t>MAO-DE-OBRA DE VIGIA,INCLUSIVE ENCARGOS SOCIAIS</t>
  </si>
  <si>
    <t>MAO-DE-OBRA DE ENCARREGADO DE OBRA,INCLUSIVE ENCARGOS SOCIAIS</t>
  </si>
  <si>
    <t>MÊS</t>
  </si>
  <si>
    <t>60 DIAS</t>
  </si>
  <si>
    <t>1.05</t>
  </si>
  <si>
    <t>05.105.0127-A</t>
  </si>
  <si>
    <t>MAO-DE-OBRA DE ENCARREGADO DE OBRA, INCLUSIVE ENCARGOS SOCIAIS</t>
  </si>
  <si>
    <t>1.06</t>
  </si>
  <si>
    <t>05.100.0900-A</t>
  </si>
  <si>
    <t>UNIDADE DE REFERENCIA PARA COMPLEMENTO DA ADMINISTRACAO LOCAL</t>
  </si>
  <si>
    <t>UR</t>
  </si>
  <si>
    <t>5% DO SOMATÓRIO DOS CUSTOS REFERENTES A MAO-DE-OBRA (ITENS: 1.03 E 1.04 = R$ 89.409,28), CONFORME CRITÉRIOS INDICADOS PELO CATÁLOGO EMOP</t>
  </si>
  <si>
    <t>1.07</t>
  </si>
  <si>
    <t>05.006.0001-B</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</si>
  <si>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</si>
  <si>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M2XMÊS</t>
  </si>
  <si>
    <t>(39,40M X 4,00M) X 2 MESES</t>
  </si>
  <si>
    <t>1.08</t>
  </si>
  <si>
    <t>05.008.0001-A</t>
  </si>
  <si>
    <t>MONTAGEM E DESMONTAGEM DE ANDAIME COM ELEMENTOS TUBULARES,CONSIDERANDO-SE A AREA VERTICAL RECOBERTA</t>
  </si>
  <si>
    <t>(39,40M X 4,00M) X 2 LADOS</t>
  </si>
  <si>
    <t>1.09</t>
  </si>
  <si>
    <t>04.020.0122-A</t>
  </si>
  <si>
    <t>TRANSPORTE DE ANDAIME TUBULAR,CONSIDERANDO-SE A AREA DE PROJECAO VERTICAL DO ANDAIME, EXCLUSIVE CARGA, DESCARGA E TEMPO DE ESPERA DO CAMINHAO(VIDE ITEM 04.021.0010)</t>
  </si>
  <si>
    <t>M2XKM</t>
  </si>
  <si>
    <t>(39,40M X 4,00M) X 60 KM</t>
  </si>
  <si>
    <t>1.10</t>
  </si>
  <si>
    <t>04.021.0010-A</t>
  </si>
  <si>
    <t>CARGA E DESCARGA MANUAL DE ANDAIME TUBULAR, INCLUSIVE TEMPO DE ESPERA DO CAMINHAO, CONSIDERANDO-SE A AREA DE PROJECAO VERTICAL</t>
  </si>
  <si>
    <t xml:space="preserve">(39,40M X 4,00M) </t>
  </si>
  <si>
    <t>1.11</t>
  </si>
  <si>
    <t>05.005.0014-A</t>
  </si>
  <si>
    <t>PLATAFORMA OU PASSARELA DE MADEIRA DE 1ª,CONSIDERANDO-SE APROVEITAMENTO DA MADEIRA 60 VEZES,EXCLUSIVE ANDAIME OU OUTRO SUPORTE E MOVIMENTACAO (VIDE ITEM 05.008.0008)</t>
  </si>
  <si>
    <t xml:space="preserve">(39,40M X 0,90M) </t>
  </si>
  <si>
    <t>1.12</t>
  </si>
  <si>
    <t>05.001.0007-A</t>
  </si>
  <si>
    <t>DEMOLICAO DE REVESTIMENTO EM ARGAMASSA DE CAL E AREIA OU CIMENTO E SAIBRO</t>
  </si>
  <si>
    <t xml:space="preserve">(4,50M X 1,00M), VIDE ITEM 2.01 </t>
  </si>
  <si>
    <t>1.13</t>
  </si>
  <si>
    <t>05.001.0008-A</t>
  </si>
  <si>
    <t>DEMOLIÇÃO DE REVESTIMENTO EXTERNO (PAREDE TIJOLOS FURADOS)</t>
  </si>
  <si>
    <t>(4,10M X 2,00M), VIDE ITEM 2.02</t>
  </si>
  <si>
    <t>1.14</t>
  </si>
  <si>
    <t>05.001.0074-A</t>
  </si>
  <si>
    <t>REMOCAO DE FORRO OU LAMBRI DE FRISOS DE MADEIRA OU PVC, PLACAS DE AGLOMERADO PRENSADO OU SEMELHANTES, EXCLUSIVE O ENGRADAMENTO</t>
  </si>
  <si>
    <t>RETIRADA DE FORRO DANIFICADO_ COZINHA:(5,75M X 4,00M) + (2,65M X 4,35M) + (2,05 X 0,90M) + DESPENSA:(1,90M X 2,95M) + DEPÓSITO E CIRCULAÇÃO:(2,50M X 4,20M) + (5,00M X 0,90M)</t>
  </si>
  <si>
    <t>05.001.0133-A</t>
  </si>
  <si>
    <t>ARRANCAMENTO DE BARROTEAMENTO DE DIMENSOES ATE 3"X9" OU DE GRAZEPES CHUMBADOS EM PISOS OU PAREDES, SEM APROVEITAMENTO DO MATERIAL RETIRADO</t>
  </si>
  <si>
    <t>RETIRADA DO BARROTEAMENTO _ COZINHA:(5,75M X 4,00M) + (2,65M X 4,35M) + (2,05 X 0,90M), PARA ELEVAÇÃO DO PÉ-DIREITO EM 60CM</t>
  </si>
  <si>
    <t>2.0</t>
  </si>
  <si>
    <t>ALVENARIA E REVESTIMENTOS</t>
  </si>
  <si>
    <t>2.01</t>
  </si>
  <si>
    <t>13.006.0020-F</t>
  </si>
  <si>
    <t xml:space="preserve">REVESTIMENTO INT. EXT. EM 2 MASSAS, CAL SAIBRO E AREIA GROSSA 1:1,5:2 , ESP. 2CM E REBOCO C/ CAL E AREIA FINA 1:2 , ESP. 5MM </t>
  </si>
  <si>
    <t>RECOMPOSIÇÃO DE PARTE DA FACHADA, EM QUE A VEDAÇÃO DAS PAREDES É DE TIJOLO MACIÇO - AO LADO DOS BANHEIROS (4,50M X 1,00M)</t>
  </si>
  <si>
    <t>2.02</t>
  </si>
  <si>
    <t>13.002.0011-B</t>
  </si>
  <si>
    <t>REVESTIMENTO EXTERNO, DE UMA VEZ, COM ARGAMASSA DE CIMENTO, SAIBRO MACIO E AREIA FINA, NO TRACO 1:3:3, COM ESPESSURA DE 2,5CM, INCLUSIVE CHAPISCO DE CIMENTO E AREIA, NO TRACO 1:3, COM ESPESSURA DE 9MM</t>
  </si>
  <si>
    <t>REVESTIMENTO EXTERNO,DE UMA VEZ,COM ARGAMASSA DE CIMENTO,SAIBRO MACIO E AREIA FINA,NO TRACO 1:3:3,COM ESPESSURA DE 2,5CM,INCLUSIVE CHAPISCO DE CIMENTO E AREIA,NO TRACO 1:3,COM ESPESSURA DE 9MM</t>
  </si>
  <si>
    <t>RECOMPOSIÇÃO DE PARTE DA FACHADA, EM QUE A VEDAÇÃO DAS PAREDES É DE TIJOLO CERÂMICO FURADO - BANHEIROS (4,50M X 2,00M)</t>
  </si>
  <si>
    <t>2.03</t>
  </si>
  <si>
    <t>13.330.0051-A</t>
  </si>
  <si>
    <t>REVESTIMENTO DE PISO, COM LADRILHOS CERAMICOS ESMALTADOS, COMMEDIDAS EM TORNO DE 30X30CM E 8,5MM DE ESPESSURA, DESTINADOSA CARGA PESADA,COM RESISTENCIA A ABRASAO P.E.I.-III, ASSENTESEM SUPERFICIE EM OSSO, COM ARGAMASSA COLANTE SOBRE ARGAMASSADE CIMENTO, SAIBRO E AREIA,NO TRACO 1:3:3, E REJUNTAMENTO PRONTO</t>
  </si>
  <si>
    <t>REVESTIMENTO DE PISO,COM LADRILHOS CERAMICOS ESMALTADOS,COMMEDIDAS EM TORNO DE 30X30CM E 8,5MM DE ESPESSURA,DESTINADOSA CARGA PESADA,COM RESISTENCIA A ABRASAO P.E.I.-III,ASSENTESEM SUPERFICIE EM OSSO,COM ARGAMASSA COLANTE SOBRE ARGAMASSADE CIMENTO,SAIBRO E AREIA,NO TRACO 1:3:3,E REJUNTAMENTO PRONTO</t>
  </si>
  <si>
    <t>RECOMPOSIÇÃO DE PISO NA BASE DO VASO SANITÁRIO - BANHEIRO FEMININO (PISO 0,30M X 0,30M X 4 UNIDADES)</t>
  </si>
  <si>
    <t>2.04</t>
  </si>
  <si>
    <t>13.398.0030-A</t>
  </si>
  <si>
    <t>RODAPE DE IPE OU MADEIRA EQUIVALENTE DE 10X2CM ACABAMENTO BOLEADO, FIXADO COMO EM 13.398.0020</t>
  </si>
  <si>
    <t>RODAPE DE IPE OU MADEIRA EQUIVALENTE DE 10X2CM ACABAMENTO BOLEADO,FIXADO COMO EM 13.398.0020</t>
  </si>
  <si>
    <t>M</t>
  </si>
  <si>
    <t>TROCA DE RODAPÉ EM TRECHOS DO SALÃO (9,15M + 11,15M + 2,90M)</t>
  </si>
  <si>
    <t>2.05</t>
  </si>
  <si>
    <t>05.001.0079-A</t>
  </si>
  <si>
    <t>REMOCAO DE FRISOS DE ASSOALHO,EXCLUSIVE BARROTES OU GRAZEPES</t>
  </si>
  <si>
    <t>RÉGUA DANIFICADA NA ÁREA DO "PALCO" (0,20M X 4,20M)</t>
  </si>
  <si>
    <t>2.06</t>
  </si>
  <si>
    <t>14.006.0445-F</t>
  </si>
  <si>
    <t>ASSOALHO EM MADEIRA DE LEI APARELHADA, COM ASSOALHO MEDINDO APROXIMADAMENTE 18X2CM. FORNECIMENTO E COLOCACAO</t>
  </si>
  <si>
    <t>RÉGUA DANIFICADA NA ÁREA DO "PALCO" (4,20M X 0,20M) + SOLEIRAS DANIFICADAS NAS PORTAS LATERAIS (1,20M + 0,90M + 0,90M) X 0,20M</t>
  </si>
  <si>
    <t>2.08</t>
  </si>
  <si>
    <t>16.024.0006-A</t>
  </si>
  <si>
    <t>IMPERMEABILIZACAO DE AREA EXPOSTA, S/PROTECAO MECANICA E S/TRANSITO, USANDO MANTA ASFALTICA AUTOPROTEGIDA NA FACE EXTERNA C/UM FILME DE ALUMINIO, TIPO II-B COM ESPESSURA DE 3MM, APLICADA C/CHAMA DE MACARICO SOBRE PRIMER ASFALTICO, BASE AGUA OU SOLVENTE, COM CONSUMO DE 0,40KG/M2, INCLUSIVE ESTE</t>
  </si>
  <si>
    <t>VEDAÇÃO ENTRE A CHAMINÉ E A COBERTURA (1,50M X 0,20M)</t>
  </si>
  <si>
    <t>2.09</t>
  </si>
  <si>
    <t>13.170.0025-A</t>
  </si>
  <si>
    <t>BARROTEAMENTO PARA FORRO FEITO COM MADEIRA DE LEI DE 2X10CM,ESPACADO DE 50CM</t>
  </si>
  <si>
    <t>BARROTEAMENTO _ COZINHA:(5,75M X 4,00M) + (2,65M X 4,35M) + (2,05 X 0,90M), PARA ELEVAÇÃO DO PÉ-DIREITO EM 60CM</t>
  </si>
  <si>
    <t>2.10</t>
  </si>
  <si>
    <t>13.175.0010-A</t>
  </si>
  <si>
    <t>FORRO DE PVC EM REGUAS DE 200MM DE LARGURA, ESPESSURA IGUALOU SUPERIOR A 8MM, ENCAIXADOS ENTRE SI, INCLUSIVE RODAFORRODE PVC PARA ACABAMENTO, ESTRUTURA EM METALON (20X20)MM E PARAFUSOS DE FIXACAO. FORNECIMENTO E COLOCACAO</t>
  </si>
  <si>
    <t>COZINHA:(5,75M X 4,00M) + (2,65M X 4,35M) + (2,05 X 0,90M) + DESPENSA:(1,90M X 2,95M) + DEPÓSITO E CIRCULAÇÃO:(2,50M X 4,20M) + (5,00M X 0,90M)</t>
  </si>
  <si>
    <t>2.11</t>
  </si>
  <si>
    <t>12.005.0035-A</t>
  </si>
  <si>
    <t>ALVENARIA DE BLOCOS DE CONCRETO 15X20X40CM, ASSENTES COM ARGAMASSA DE CIMENTO E AREIA, NO TRACO 1:8, EM PAREDES DE 0,15M DE ESPESSURA, COM VAOS OU ARESTAS, ATE 3,00M DE ALTURA E MEDIDA PELA AREA REAL</t>
  </si>
  <si>
    <t>RECOMPOSIÇÃO DE CALÇADA - FUNDOS (04 BLOCOS DE 20 X 40CM)</t>
  </si>
  <si>
    <t>2.12</t>
  </si>
  <si>
    <t>13.301.0500-A</t>
  </si>
  <si>
    <t>RECOMPOSICAO DE PISO CIMENTADO, COM ARGAMASSA DE CIMENTO E AREIA, NO TRACO 1:3, COM 2CM DE ESPESSURA, EXCLUSIVE BASE  DE CONCRETO</t>
  </si>
  <si>
    <t>RECOMPOSIÇÃO DE CALÇADA - FUNDOS E LATERAL (20 % DE 61,60M X 1,00M)</t>
  </si>
  <si>
    <t>2.13</t>
  </si>
  <si>
    <t>14.006.0615-A</t>
  </si>
  <si>
    <t>PECA DE MADEIRA DE LEI, SERRADA, DE 3"X6". FORNECIMENTO</t>
  </si>
  <si>
    <t>RECOMPOSIÇÃO DE PEÇAS NA CALÇADA DA ENTRADA PRINCIPAL: 6 PEÇAS DE 1,20M E 02 PEÇAS COM 0,80M</t>
  </si>
  <si>
    <t>2.14</t>
  </si>
  <si>
    <t>20.113.0014-A</t>
  </si>
  <si>
    <t>PEDRA-DE-MAO PARA REGIAO DE MACAE,EXCLUSIVE TRANSPORTE,INCLUSIVE CARGA NO CAMINHAO.FORNECIMENTO</t>
  </si>
  <si>
    <t>RECOMPOSIÇÃO DE PEDRAS NA CALÇADA DA ENTRADA PRINCIPAL: 0,50M X 2,00M</t>
  </si>
  <si>
    <t>2.15</t>
  </si>
  <si>
    <t>13.365.0087-A</t>
  </si>
  <si>
    <t>ESPELHO OU CHAPIM EM GRANITO CINZA CORUMBA,ESPESSURA DE 3CM,LARGURA DE 20CM,POLIDO E ASSENTE COMO EM 13.365.0083</t>
  </si>
  <si>
    <t>RECOMPOSIÇÃO DE PEDRAS NO TANQUE (1,50 + 0,70M)</t>
  </si>
  <si>
    <t>3.0</t>
  </si>
  <si>
    <t>ESQUADRIAS E FERRAGENS</t>
  </si>
  <si>
    <t>3.01</t>
  </si>
  <si>
    <t>14.006.0100-F</t>
  </si>
  <si>
    <t>REFORMA DE PORTA DE MADEIRA DE LEI DE FRISOS (TIPO MEXICANA), P/ FOLHA, DE ABRIR</t>
  </si>
  <si>
    <t>REFORMA DE PORTA DE MADEIRA DE LEI DE FRISOS (TIPO MEXICANA) EM DUAS FOLHAS DE ABRIR</t>
  </si>
  <si>
    <t>UN</t>
  </si>
  <si>
    <t>FACHADA PRINCIPAL (02) + FACHADA POSTERIOR (01)</t>
  </si>
  <si>
    <t>3.02</t>
  </si>
  <si>
    <t>14.006.0095-F</t>
  </si>
  <si>
    <t>REFORMA DE JANELA DE MADEIRA DE LEI DE FRISOS (TIPO MEXICANA), P/ FOLHA, DE ABRIR</t>
  </si>
  <si>
    <t>REFORMA DE JANELA DE MADEIRA DE LEI DE FRISOS (TIPO MEXICANA) EM DUAS FOLHAS DE ABRIR</t>
  </si>
  <si>
    <t>FACHADA PRINCIPAL (05)</t>
  </si>
  <si>
    <t>3.03</t>
  </si>
  <si>
    <t>14.007.0312-A</t>
  </si>
  <si>
    <t>CARRANCA PARA FIXACAO EXTERNA DE JANELA DE ABRIR EM LATAO,CABECOTE ARTICULADO.FORNECIMENTO</t>
  </si>
  <si>
    <t>JANELAS EXTERNAS (20) X 02 UNIDADES POR JANELA</t>
  </si>
  <si>
    <t>3.04</t>
  </si>
  <si>
    <t>14.009.0125-A</t>
  </si>
  <si>
    <t>COLOCACAO DE CARRANCA, FIXADA NA PARTE EXTERNA DE JANELAS DE ABRIR, EXCLUSIVE O FORNECIMENTO</t>
  </si>
  <si>
    <t>COLOCACAO DE CARRANCA,FIXADA NA PARTE EXTERNA DE JANELAS DEABRIR,EXCLUSIVE O FORNECIMENTO</t>
  </si>
  <si>
    <t>IDEM, ITEM 3.03</t>
  </si>
  <si>
    <t>3.05</t>
  </si>
  <si>
    <t>14.007.0253-A</t>
  </si>
  <si>
    <t>FECHADURA DE CILINDRO, EM LATAO, ACABAMENTO CROMADO, PARA PORTAS,DE ENTRADA PRINCIPAL. FORNECIMENTO</t>
  </si>
  <si>
    <t>FECHADURA DE CILINDRO,EM LATAO,ACABAMENTO CROMADO,PARA PORTAS DE MADEIRA,DE ENTRADA PRINCIPAL.FORNECIMENTO</t>
  </si>
  <si>
    <t>ENTRADA PRINCIPAL + SALA DE ARTESANATO + ENTRADA ADMINISTRAÇÃO + ENTRADA FUNDOS</t>
  </si>
  <si>
    <t>3.06</t>
  </si>
  <si>
    <t>14.004.0015-A</t>
  </si>
  <si>
    <t>VIDRO PLANO TRANSPARENTE,COMUM,DE 4MM DE ESPESSURA.FORNECIMENTO E COLOCACAO</t>
  </si>
  <si>
    <t>PORTA DE ACESSO AOS FUNDOS (1,15M X 1,00M) + CRISTALEIRA (0,25M X 0,40M X 6)</t>
  </si>
  <si>
    <t>3.07</t>
  </si>
  <si>
    <t>14.004.0100-A</t>
  </si>
  <si>
    <t>ESPELHO DE CRISTAL,4MM DE ESPESSURA.COM MOLDURA DE MADEIRA.FORNECIMENTO E COLOCACAO</t>
  </si>
  <si>
    <t>BANHEIRO FEMININO: 0,60M 1,20M</t>
  </si>
  <si>
    <t>4.0</t>
  </si>
  <si>
    <t>INSTALAÇÕES ELÉTRICAS</t>
  </si>
  <si>
    <t>4.01</t>
  </si>
  <si>
    <t>18.027.0445-A</t>
  </si>
  <si>
    <t>ARANDELA,DE PAREDE,COM RECEPTACULO (EXCLUSIVE LAMPADA), REFLETOR EM MATERIAL ANTIFERRUGEM E BRACO DE ALUMINIO ANODIZADOCOM BASE PARA FIXACAO.FORNECIMENTO E COLOCACAO</t>
  </si>
  <si>
    <t>LUMINARIA DE SOBREPOR,FIXADA EM LAJE OU FORRO,TIPO CALHA,CHANFRADA OU PRISMATICA,ESMALTADA,COMPLETA,EQUIPADA COM REATORELETRONICO DE ALTO FATOR DE POTENCIA(AFP&gt;=0,92)E LAMPADA FLUORESCENTE DE 3X20W.FORNECIMENTO E COLOCACAO</t>
  </si>
  <si>
    <t>FACHADA PRINCIPAL (06)</t>
  </si>
  <si>
    <t>4.02</t>
  </si>
  <si>
    <t>15.020.0010-A</t>
  </si>
  <si>
    <t>RECEPTACULO DE LOUCA PARA PENDENTE.FORNECIMENTO E COLOCACAO</t>
  </si>
  <si>
    <t>GLOBO ESFERICO,PLAFONIER REPUXADO DE ALUMINIO COM DIFUSOR EMBASE DE VIDRO LEITOSO DE 4"X6".FORNECIMENTO E COLOCACAO</t>
  </si>
  <si>
    <t>07 UNIDADES (BEIRAL)</t>
  </si>
  <si>
    <t>4.03</t>
  </si>
  <si>
    <t>18.027.0110-A</t>
  </si>
  <si>
    <t>LUMINARIA A PROVA DE GASES, VAPORES E POS, HERMETICA, COM LENTE DE VIDRO TRANSPARENTE, CORPO E GRADE EM ALUMINIO FUNDIDO, PARA LAMPADA LED ATE 25W, MISTA OU VAPOR DE MERCURIO ATE 250W, PARA COLOCACAO EM TETO, EXCLUSIVE LAMPADA. FORNECIMENTO E COLOCACAO</t>
  </si>
  <si>
    <t>COZINHA</t>
  </si>
  <si>
    <t>4.04</t>
  </si>
  <si>
    <t>15.020.0173-A</t>
  </si>
  <si>
    <t>LAMPADA LED,TUBULAR,18W,100/240V.FORNECIMENTO E COLOCACAO</t>
  </si>
  <si>
    <t>4.05</t>
  </si>
  <si>
    <t>15.020.0200-A</t>
  </si>
  <si>
    <t>LAMPADA LED, BULBO, A60, 12W, 100/200V, BASE E-27. FORNECIMENTO E COLOCACAO</t>
  </si>
  <si>
    <t>LAMPADA INCANDESCENTE,DE 100W.FORNECIMENTO E COLOCACAO</t>
  </si>
  <si>
    <t>ARANDELAS DA PORTA PRINCIPAL (02UN) + SALÃO (10UN) + BEIRAIS (07UN) + ARANDELAS DE PAREDE FACHADA (06UN) + CORREDOR DOS BANHEIROS (01UN) + BANHEIRO MASC. (02UN) + BANHEIRO FEM. (02UN) + SALA ARTESANATO (02UN) + DEPÓSITO (01UN) + SALAS ADMINISTRATIVAS (02UN) + BANHEIRO DE SERVIÇO (01UN)</t>
  </si>
  <si>
    <t>4.06</t>
  </si>
  <si>
    <t>15.008.0020-A</t>
  </si>
  <si>
    <t>FIO DE COBRE COM ISOLAMENTO TERMOPLASTICO, ANTICHAMA, COMPREENDENDO: PREPARO, CORTE E ENFIACAO EM ELETRODUTOS, NA BITOLA DE 2,5MM2, 450/750V. FORNECIMENTO E COLOCACAO</t>
  </si>
  <si>
    <t>FIO DE COBRE COM ISOLAMENTO TERMOPLASTICO,ANTICHAMA,COMPREENDENDO:PREPARO,CORTE E ENFIACAO EM ELETRODUTOS,NA BITOLA DE 2,5MM2,450/750V.FORNECIMENTO E COLOCACAO</t>
  </si>
  <si>
    <t>REFAZER A FIAÇÃO DAS ÁREAS EM QUE O FORRO SERÁ SUBSTITUÍDO (20M X 03UNIDADES)</t>
  </si>
  <si>
    <t>4.07</t>
  </si>
  <si>
    <t>15.019.0020-A</t>
  </si>
  <si>
    <t>INTERRUPTOR DE EMBUTIR COM 1 TECLA SIMPLES FOSFORESCENTE E PLACA. FORNECIMENTO E COLOCACAO</t>
  </si>
  <si>
    <t>INTERRUPTOR DE EMBUTIR COM 1 TECLA SIMPLES FOSFORESCENTE E PLACA.FORNECIMENTO E COLOCACAO</t>
  </si>
  <si>
    <t>SALA ADMINISTRATIVA</t>
  </si>
  <si>
    <t>4.08</t>
  </si>
  <si>
    <t>15.019.0050-A</t>
  </si>
  <si>
    <t>TOMADA ELETRICA 2P+T,10A/250V, PADRAO BRASILEIRO, DE EMBUTIR, COM PLACA 4"X2". FORNECIMENTO E COLOCACAO.</t>
  </si>
  <si>
    <t>TOMADA ELETRICA 2P+T,10A/250V,PADRAO BRASILEIRO,DE EMBUTIR,COM PLACA 4"X2".FORNECIMENTO E COLOCACAO.</t>
  </si>
  <si>
    <t>4.09</t>
  </si>
  <si>
    <t>18.027.0135-A</t>
  </si>
  <si>
    <t>PROJETOR PARA ILUMINACAO DE QUADRAS DE ESPORTE, PATIOS OU FACHADAS, EM ALUMINIO REPUXADO, LENTE EM VIDRO TEMPERADO(DIAMETRO=220MM), PARA LAMPADA LED DE 25W. FORNECIMENTO E COLOCACAO</t>
  </si>
  <si>
    <t>FACHADA POSTERIOR</t>
  </si>
  <si>
    <t>5.0</t>
  </si>
  <si>
    <t>INSTALAÇÕES HIDROSSANITÁRIAS, APARELHOS E METAIS</t>
  </si>
  <si>
    <t>5.01</t>
  </si>
  <si>
    <t>15.029.0011-A</t>
  </si>
  <si>
    <t>REGISTRO DE GAVETA, EM BRONZE, COM DIAMETRO DE 3/4". FORNECIMENTO E COLOCACAO</t>
  </si>
  <si>
    <t>REGISTRO DE GAVETA,EM BRONZE,COM DIAMETRO DE 3/4".FORNECIMENTO E COLOCACAO</t>
  </si>
  <si>
    <t>BANHEIRO DE SERVIÇO</t>
  </si>
  <si>
    <t>5.02</t>
  </si>
  <si>
    <t>18.009.0074-A</t>
  </si>
  <si>
    <t>TORNEIRA PARA PIA,COM MISTURADOR,AREJADOR,TUBO MOVEL,TIPO BANCA,1256 DE 1/2"X17CM APROXIMADAMENTE,EM METAL CROMADO.FORNECIMENTO</t>
  </si>
  <si>
    <t>TANQUE (02)</t>
  </si>
  <si>
    <t>5.03</t>
  </si>
  <si>
    <t>18.005.0015-A</t>
  </si>
  <si>
    <t>ASSENTO SANITARIO DE PLASTICO,TIPO MEDIO LUXO.FORNECIMENTO ECOLOCACAO</t>
  </si>
  <si>
    <t>TORNEIRA PARA PIA OU TANQUE,1158 DE 1/2"X18CM APROXIMADAMENTE,EM METAL CROMADO.FORNECIMENTO</t>
  </si>
  <si>
    <t>5.04</t>
  </si>
  <si>
    <t>18.007.0051-A</t>
  </si>
  <si>
    <t>DUCHINHA MANUAL, COM REGISTRO DE PRESSAO 1/2" CROMADO, RABICHO CROMADO, SUPORTE BRANCO, PISTOLA BRANCA, BUCHAS E PARAFUSOS PARA FIXACAO. FORNECIMENTO</t>
  </si>
  <si>
    <t>SIFAO FLEXIVEL PARA PIA OU LAVATORIO,EM PVC.FORNECIMENTO</t>
  </si>
  <si>
    <t>5.05</t>
  </si>
  <si>
    <t>20115 (ELEMENTAR)</t>
  </si>
  <si>
    <t>MAO-DE-OBRA DE PEDREIRO,INCLUSIVE ENCARGOS SOCIAIS DESONERADOS(ASSENTAMENTO DE CUBA EXISTENTE)</t>
  </si>
  <si>
    <t>MAO-DE-OBRA DE PEDREIRO,INCLUSIVE ENCARGOS SOCIAIS</t>
  </si>
  <si>
    <t>H</t>
  </si>
  <si>
    <t>ASSENTAMENTO DE CUBA - PIA DO SALÃO</t>
  </si>
  <si>
    <t>5.06</t>
  </si>
  <si>
    <t>18.005.0010-A</t>
  </si>
  <si>
    <t>SABONETEIRA EM PLASTICO ABS,PARA SABONETE LIQUIDO.FORNECIMENTO E COLOCACAO</t>
  </si>
  <si>
    <t>BANHEIRO MASCULINO (01UN) + BANHEIRO FEMININO (01UN)</t>
  </si>
  <si>
    <t>5.07</t>
  </si>
  <si>
    <t>15.075.0010-A</t>
  </si>
  <si>
    <t>LIGACAO EM TUBULACAO DE PVC,PARA ESGOTO,COM 0,10M DE DIAMETRO,INCLUSIVE ESCAVACAO E REATERRO ATE 1,00M,EXCLUSIVE REMOCAODE PAVIMENTO.CUSTO PARA 10,00M</t>
  </si>
  <si>
    <t>REPARO DO ESCOAMENTO NO BANHEIRO MASCULINO</t>
  </si>
  <si>
    <t>5.08</t>
  </si>
  <si>
    <t>18.003.0015-A</t>
  </si>
  <si>
    <t>VALVULA DE FECHAMENTO AUTOMATICO,PARA MICTORIO,ACABAMENTO CROMADO.FORNECIMENTO</t>
  </si>
  <si>
    <t>BANHEIRO MASCULINO</t>
  </si>
  <si>
    <t>6.0</t>
  </si>
  <si>
    <t>COBERTURA</t>
  </si>
  <si>
    <t>6.01</t>
  </si>
  <si>
    <t>05.001.0043-A</t>
  </si>
  <si>
    <t>REMOCAO DE COBERTURA EM TELHAS COLONIAIS, MEDIDA PELA AREA REAL DE COBERTURA, EXCLUSIVE MADEIRAMENTO</t>
  </si>
  <si>
    <t>REMOCAO DE COBERTURA EM TELHAS COLONIAIS,MEDIDA PELA AREA REAL DE COBERTURA,EXCLUSIVE MADEIRAMENTO</t>
  </si>
  <si>
    <t>20 % DA ÁREA DA COBERTURA (453,50M2 X 0,20)</t>
  </si>
  <si>
    <t>6.02</t>
  </si>
  <si>
    <t>16.002.0010-A</t>
  </si>
  <si>
    <t>COBERTURA EM TELHA CERAMICA COLONIAL, EXCLUSIVE CUMEEIRA E MADEIRAMENTO, MEDIDA PELA AREA REAL DE COBERTURA. FORNECIMENTO ECOLOCACAO</t>
  </si>
  <si>
    <t>COBERTURA EM TELHA CERAMICA COLONIAL,EXCLUSIVE CUMEEIRA E MADEIRAMENTO.MEDIDA PELA AREA REAL DE COBERTURA.FORNECIMENTO ECOLOCACAO</t>
  </si>
  <si>
    <t>7.0</t>
  </si>
  <si>
    <t>PINTURA</t>
  </si>
  <si>
    <t>7.01</t>
  </si>
  <si>
    <t>17.025.0007-A</t>
  </si>
  <si>
    <t>PINTURA COM RESINA HIDROFUGANTE EM DUAS DEMAOS, EM TIJOLO APARENTE E CONCRETO APARENTE, INCLUSIVE LIMPEZA DA SUPERFICIE</t>
  </si>
  <si>
    <t>PINTURA COM RESINA HIDROFUGANTE EM DUAS DEMAOS,EM TIJOLO APARENTE E CONCRETO APARENTE,INCLUSIVE LIMPEZA DA SUPERFICIE</t>
  </si>
  <si>
    <t>SALÃO (15,00M X 2,60M) + SALA DO ARTESANATO (4,40M X 2,60M)</t>
  </si>
  <si>
    <t>7.02</t>
  </si>
  <si>
    <t>17.018.0112-A</t>
  </si>
  <si>
    <t>PINTURA COM TINTA LATEX SEMIBRILHANTE, FOSCA OU ACETINADA, CLASSIFICACAO PREMIUM OU STANDARD (NBR 15079), PARA INTERIOR E EXTERIOR, BRANCA OU COLORIDA, SOBRE TIJOLO, CONCRETO LISO, CIMENTO SEM AMIANTO, E REVESTIMENTO, INCLUSIVE LIXAMENTO, UMA DEMAO DE SELADOR ACRILICO, DEMAO DE MEIA MASSA E DUAS DEMAOS DE ACABAMENTO</t>
  </si>
  <si>
    <t>CAIACAO INTERNA COM CORANTE SOBRE SUPERFICIE LISA,EM DUAS DEMAOS,ADICIONANDO FIXADOR</t>
  </si>
  <si>
    <t>[EXTERIOR: (110,00M X 4,00M) + INTERIOR: SALA ARTESANATO (20,20M X 4,00M) + SALÃO (61,80M X 4,00M) + CORREDOR SALAS ADMINISTRATIVAS (11,70M X 4,00M) + SALAS ADMINISTRATIVAS (11,59M X 4,00M X 2) + CORREDOR BANHEIROS (10,40M X 4,00M) + BANHEIROS MEIA PAREDE (12,00M X 2,00M X 2)] - PAREDE DE TIJOLOS (19,40M X 2,60M)</t>
  </si>
  <si>
    <t>7.03</t>
  </si>
  <si>
    <t>17.017.0176-A</t>
  </si>
  <si>
    <t>REPINTURA INTERNA SOBRE MADEIRA COM ESMALTE SINTETICO ALTO BRILHO OU ACETINADO, SOBRE SUPERFICIE JA PINTADA EM BOM ESTADO, APOS LIXAMENTO, LIMPEZA, DUAS DEMAOS DE ACABAMENTO COM MATERIAL DA MESMA LINHA DE FABRICACAO E NA COR EXISTENTE</t>
  </si>
  <si>
    <t>PORTAS ((1,20M + 1,90M + 0,80M + 0,80M) X 2,10M X 2,5)) + JANELAS (1,10M X 1,50M X 2,5 X 20UN) + RODAMEIO (26,55M X 0,10M X 2 LADOS) + FORRO DA CIRCULAÇÃO DOS BANHEIROS (1,15M X 4,05M) + BANHEIROS DO RESTAURANTE (1,95M X 4,30M X 2UN)+ FORRO DO BEIRAL (110,00M X 0,50M) + COLUNAS (0,20M X 4,00M X 19UN X 2 LADOS) + RODAPÉ (53,10M X 0,10M) + TESOURAS DA COBERTURA (22,50M X 0,15M X 04 LADOS X 06 UNIDADES) TERÇAS DA COBERTURA (26,55M X 0,15M X 08 LADOS)</t>
  </si>
  <si>
    <t>7.04</t>
  </si>
  <si>
    <t>17.017.0321-A</t>
  </si>
  <si>
    <t>REPINTURA INTERNA OU EXTERNA SOBRE FERRO, COM ESMALTE SINTETICO BRILHANTE OU ACETINADO APOS LIXAMENTO, LIMPEZA, DESENGORDURAMENTO, UMA DEMAO DE FUNDO ANTICORROSIVO NA COR LARANJA DE SECAGEM RAPIDA E DUAS DEMAOS DE ACABAMENTO</t>
  </si>
  <si>
    <t>GRADEAMENTO DA PORTA PRINCIPAL: (1,00M X 2,40M X 2 LADOS X 2) + (4,40M X 1,00M X 2) + PORTA FUNDOS: (1,20M X 2,40M X 2) + ABRIGO GÁS: (3,20M X 1,60M X 2)</t>
  </si>
  <si>
    <t>7.05</t>
  </si>
  <si>
    <t>17.020.0070-A</t>
  </si>
  <si>
    <t>ENVERNIZAMENTO DE MADEIRA EM SUPERFICIE INTERIOR, COM VERNIZ POLIURETANO BRILHANTE E TRANSPARENTE, INCLUSIVE LIXAMENTO, UMADEMAO DE VERNIZ IMUNIZANTE E IMPERMEABILIZANTE INCOLOR, ANILINA E DUAS DEMAOS DE ACABAMENTO</t>
  </si>
  <si>
    <t>ENVERNIZAMENTO DE MADEIRA EM SUPERFICIE INTERIOR,COM VERNIZPOLIURETANO BRILHANTE E TRANSPARENTE,INCLUSIVE LIXAMENTO,UMADEMAO DE VERNIZ IMUNIZANTE E IMPERMEABILIZANTE INCOLOR,ANILINA E DUAS DEMAOS DE ACABAMENTO</t>
  </si>
  <si>
    <t>MESAS: (0,90M X 2,20M X 2 LADOS X 4UN)+(0,20M X 0,70M X 16UN)+(0,80M X 0,80M X 2 LADOS X 11UN)+(0,20M X 0,70M X 44UN)+(1,20M X 1,20M X 2 LADOS X 10UN)+(0,20M X 0,70M X 40UN)+(0,80M X 1,20M X 2 LADOS X 2UN)+(0,20M X 0,70M X 8UN) + CADEIRAS: (0,40M X 0,40M X 2 LADOS X 80UN)+(0,20M X 0,45M X 320UN) + BANCOS: (0,40M X 0,40M X 5 LADOS) + APARADORES: (0,50M X 1,50M X 2 LADOS)+(0,20M X 0,70M X 04UN) + BANCADA DO RESTAURANTE: (4,10M X 0,60M)</t>
  </si>
  <si>
    <t>8.0</t>
  </si>
  <si>
    <t>ENCERAMENTO E LIMPEZA DE PISO</t>
  </si>
  <si>
    <t>8.01</t>
  </si>
  <si>
    <t>17.020.0040-A</t>
  </si>
  <si>
    <t>ENCERAMENTO DE MADEIRA, INCLUSIVE LIXAMENTO, UMA DEMAO DE VERNIZ IMUNIZANTE E IMPERMEABILIZANTE INCOLOR E TRES DEMAOS DE CERA, CADA QUAL SEGUIDA DE ABERTURA DE BRILHO A ESCOVA E FLANELA</t>
  </si>
  <si>
    <t>ENCERAMENTO DE MADEIRA,INCLUSIVE LIXAMENTO,UMA DEMAO DE VERNIZ IMUNIZANTE E IMPERMEABILIZANTE INCOLOR E TRES DEMAOS DE CERA,CADA QUAL SEGUIDA DE ABERTURA DE BRILHO A ESCOVA E FLANELA</t>
  </si>
  <si>
    <t>PALCO (7,00M X 5,00M)</t>
  </si>
  <si>
    <t>8.02</t>
  </si>
  <si>
    <t>05.001.0360-A</t>
  </si>
  <si>
    <t>LIMPEZA DE PISOS CIMENTADOS</t>
  </si>
  <si>
    <t>SALÃO: 8,70M X 26,55M - ÁREA DO PALCO: 7,00M X 5,00M</t>
  </si>
  <si>
    <t>SUB-TOTAL:</t>
  </si>
  <si>
    <t>TOTAL DO ORÇAMENTO:</t>
  </si>
  <si>
    <t>ANEXO II</t>
  </si>
  <si>
    <t>COMPOSIÇÕES DOS SERVIÇOS NÃO CONSTANTES DO CATÁLOGO EMOP RJ</t>
  </si>
  <si>
    <t xml:space="preserve"> </t>
  </si>
  <si>
    <t>SEQ.</t>
  </si>
  <si>
    <t>COD. ELEM.</t>
  </si>
  <si>
    <t>DESCR. ELEMENTAR</t>
  </si>
  <si>
    <t>TP</t>
  </si>
  <si>
    <t>QUANT.</t>
  </si>
  <si>
    <t>PERC.</t>
  </si>
  <si>
    <t>PREÇO UNIT.</t>
  </si>
  <si>
    <t>REFER.</t>
  </si>
  <si>
    <t>TOTAL</t>
  </si>
  <si>
    <t>FRISOS DE MADEIRA, TIPO MEXICANA, EM MADEIRA DE LEI (60CM X 210CM X 3,5CM)</t>
  </si>
  <si>
    <t>00453</t>
  </si>
  <si>
    <t>PREGO COM OU SEM CABECA, EM CAIXAS DE 50KG, OU QUANTIDADES EQUIVALENTES, Nº12X12A 18X30</t>
  </si>
  <si>
    <t>KG</t>
  </si>
  <si>
    <t>MÃO-DE-OBRA DE SERVENTE DA CONSTRUÇÃO CIVIL, INCLUSIVE ENCARGOS SOCIAIS DESONERADOS</t>
  </si>
  <si>
    <t>O</t>
  </si>
  <si>
    <t>A</t>
  </si>
  <si>
    <t>B</t>
  </si>
  <si>
    <t>C</t>
  </si>
  <si>
    <t>D</t>
  </si>
  <si>
    <t>E</t>
  </si>
  <si>
    <t>F</t>
  </si>
  <si>
    <t>MÃO-DE-OBRA DE CARPINTEIRO DE ESQUADRIAS DE MADEIRA, INCLUSIVE ENCARGOS SOCIAIS DESONERADOS</t>
  </si>
  <si>
    <t>TOTAL POR UNID.</t>
  </si>
  <si>
    <t>MÃO-DE-OBRA DE SERVENTE DA CONSTRUÇÃO CIVIL,
INCLUSIVE ENCARGOS SOCIAIS DESONERADOS</t>
  </si>
  <si>
    <t>1*2,4</t>
  </si>
  <si>
    <t>MÃO-DE-OBRA DE CARPINTEIRO DE ESQUADRIAS DE
MADEIRA, INCLUSIVE ENCARGOS SOCIAIS
DESONERADOS</t>
  </si>
  <si>
    <t>13.006.020-5</t>
  </si>
  <si>
    <t>fonte: STABILE - CUSTOS NA CONSTRUÇÃO</t>
  </si>
  <si>
    <t>REBOCO</t>
  </si>
  <si>
    <t>EMBOÇO</t>
  </si>
  <si>
    <t>MÃO-DE-OBRA DE ESTUCADOR, INCLUSIVE ENCARGOS SOCIAIS DESONERADOS</t>
  </si>
  <si>
    <t>CAL HIDRATADA EM SACO</t>
  </si>
  <si>
    <t>AREIA FINA LAVADA</t>
  </si>
  <si>
    <t>M3</t>
  </si>
  <si>
    <t>AREIA GROSSA LAVADA</t>
  </si>
  <si>
    <t>SAIBRO</t>
  </si>
  <si>
    <t>TOTAL POR M2</t>
  </si>
  <si>
    <t>0,00</t>
  </si>
  <si>
    <t>3,00</t>
  </si>
  <si>
    <t>11392</t>
  </si>
  <si>
    <t>ASSOALHO EM REGUAS DE MADEIRA APARELHADA, SECAO (20X2)CM, GRUPO VI</t>
  </si>
  <si>
    <t>ANEXO III</t>
  </si>
  <si>
    <t>DETALHAMENTO DO BDI</t>
  </si>
  <si>
    <t xml:space="preserve">Descrição </t>
  </si>
  <si>
    <t>%</t>
  </si>
  <si>
    <t>PV</t>
  </si>
  <si>
    <t>CD</t>
  </si>
  <si>
    <t>ADMINISTRAÇÃO CENTRAL</t>
  </si>
  <si>
    <t>1.1</t>
  </si>
  <si>
    <t>ESCRITÓRIO CENTRAL</t>
  </si>
  <si>
    <t>1.2</t>
  </si>
  <si>
    <t>VIAGENS</t>
  </si>
  <si>
    <t>1.3</t>
  </si>
  <si>
    <t>OUTROS</t>
  </si>
  <si>
    <t>IMPOSTOS E TAXAS</t>
  </si>
  <si>
    <t>2.1</t>
  </si>
  <si>
    <t>ISS</t>
  </si>
  <si>
    <t>2.2</t>
  </si>
  <si>
    <t>PIS</t>
  </si>
  <si>
    <t>2.3</t>
  </si>
  <si>
    <t>Cofins</t>
  </si>
  <si>
    <t>TAXA DE RISCO</t>
  </si>
  <si>
    <t>3.1</t>
  </si>
  <si>
    <t>SEGURO</t>
  </si>
  <si>
    <t>3.2</t>
  </si>
  <si>
    <t>RISCO</t>
  </si>
  <si>
    <t>GARANTIA</t>
  </si>
  <si>
    <t>DESPESAS FINANCEIRAS</t>
  </si>
  <si>
    <t>LUCRO</t>
  </si>
  <si>
    <t>BDI - CALCULADO</t>
  </si>
  <si>
    <t>Para o preenchimento da proposta deve-se utilizar o valor de ISS da Prefeitura Local.</t>
  </si>
  <si>
    <t>BDI (CALCULADO):</t>
  </si>
  <si>
    <t xml:space="preserve">BDI CALCULADO CONFORME ACÓRDÃO Nº 2369/2011 – TCU </t>
  </si>
  <si>
    <t>PROJETOR PARA ILUMINACAO DE QUADRAS DE ESPORTE, PATIOS OU FACHADAS, EM ALUMINIO REPUXADO, LENTE EM VIDRO TEMPERADO(DIAMETRO=220MM), PARA LAMPADA LED DE 25W, EXCLUSIVE LAMPADA. FORNECIMENTO E COLOCACAO</t>
  </si>
  <si>
    <t>PORTAS ((1,20M + 1,90M + 0,80M + 0,80M) X 2,40M X 2,5)) + JANELAS (1,20M X 1,40M X 2,5 X 20UN) + RODAMEIO (26,55M X 0,10M X 2 LADOS) + FORRO DA CIRCULAÇÃO DOS BANHEIROS (1,15M X 4,05M) + BANHEIROS DO RESTAURANTE (1,95M X 4,30M X 2UN)+ FORRO DO BEIRAL (110,00M X 0,50M) + COLUNAS (0,20M X 4,00M X 19UN X 2 LADOS) + RODAPÉ (53,10M X 0,10M) + TESOURAS DA COBERTURA (22,50M X 0,15M X 04 LADOS X 06 UNIDADES) TERÇAS DA COBERTURA (26,55M X 0,15M X 08 LADOS)</t>
  </si>
  <si>
    <t>05.042.0880-A</t>
  </si>
  <si>
    <t>ENCERAMENTO DE PISO DE QUALQUER NATUREZA, UMA DEMAO</t>
  </si>
  <si>
    <t>CRONOGRAMA DE EXECUÇÃO</t>
  </si>
  <si>
    <t>ITEM  / DESCRIÇÃO</t>
  </si>
  <si>
    <t>DIAS</t>
  </si>
  <si>
    <t>INSTALAÇÕES HIDROSSANITÁRIAS</t>
  </si>
  <si>
    <t>CRONOGRAMA FÍSICO-FINANCEIRO</t>
  </si>
  <si>
    <t>ITEM</t>
  </si>
  <si>
    <t>$ Parcial sem B.D.I.</t>
  </si>
  <si>
    <t>$ Parcial com B.D.I.</t>
  </si>
  <si>
    <t>% MEDIÇÃO</t>
  </si>
  <si>
    <t>VALORES CORRESPONDENTES</t>
  </si>
  <si>
    <t>S</t>
  </si>
  <si>
    <t>CRONOGRAMA DE DESEMBOLSO MÁXIMO ESTIMADO</t>
  </si>
  <si>
    <t>30 DIAS</t>
  </si>
  <si>
    <t>APÓS A DATA DE AUTORIZAÇÃO DE INÍCIO DOS SERVIÇOS</t>
  </si>
</sst>
</file>

<file path=xl/styles.xml><?xml version="1.0" encoding="utf-8"?>
<styleSheet xmlns="http://schemas.openxmlformats.org/spreadsheetml/2006/main">
  <numFmts count="17">
    <numFmt numFmtId="164" formatCode="General"/>
    <numFmt numFmtId="165" formatCode="@"/>
    <numFmt numFmtId="166" formatCode="&quot;R$ &quot;#,##0.00"/>
    <numFmt numFmtId="167" formatCode="#,##0.00"/>
    <numFmt numFmtId="168" formatCode="0"/>
    <numFmt numFmtId="169" formatCode="&quot;BENEFICIO E DESPESAS INDIRETAS -B.D.I. (&quot;0.00&quot;%):&quot;"/>
    <numFmt numFmtId="170" formatCode="0.00"/>
    <numFmt numFmtId="171" formatCode="0.0000"/>
    <numFmt numFmtId="172" formatCode="&quot;R$ &quot;#,##0.0000"/>
    <numFmt numFmtId="173" formatCode="MM/YY"/>
    <numFmt numFmtId="174" formatCode="0.000"/>
    <numFmt numFmtId="175" formatCode="#,##0.0000"/>
    <numFmt numFmtId="176" formatCode="_-* #,##0.00_-;\-* #,##0.00_-;_-* \-??_-;_-@_-"/>
    <numFmt numFmtId="177" formatCode="0.00%"/>
    <numFmt numFmtId="178" formatCode="&quot;&quot;0&quot; dias&quot;"/>
    <numFmt numFmtId="179" formatCode="&quot;R$&quot;#,##0.00"/>
    <numFmt numFmtId="180" formatCode="&quot;R$&quot;#,##0.00_);[RED]&quot;(R$&quot;#,##0.00\)"/>
  </numFmts>
  <fonts count="50">
    <font>
      <sz val="10"/>
      <color indexed="8"/>
      <name val="Arial"/>
      <family val="0"/>
    </font>
    <font>
      <sz val="10"/>
      <name val="Arial"/>
      <family val="0"/>
    </font>
    <font>
      <sz val="11"/>
      <color indexed="8"/>
      <name val="Calibri"/>
      <family val="2"/>
    </font>
    <font>
      <b/>
      <sz val="8"/>
      <color indexed="8"/>
      <name val="Arial"/>
      <family val="2"/>
    </font>
    <font>
      <sz val="7"/>
      <name val="Arial"/>
      <family val="2"/>
    </font>
    <font>
      <b/>
      <u val="single"/>
      <sz val="20"/>
      <name val="Arial Narrow"/>
      <family val="2"/>
    </font>
    <font>
      <sz val="8"/>
      <name val="Arial Narrow"/>
      <family val="2"/>
    </font>
    <font>
      <b/>
      <sz val="8"/>
      <name val="Arial Narrow"/>
      <family val="2"/>
    </font>
    <font>
      <sz val="8"/>
      <color indexed="9"/>
      <name val="Arial Narrow"/>
      <family val="2"/>
    </font>
    <font>
      <b/>
      <u val="single"/>
      <sz val="10"/>
      <name val="Arial Narrow"/>
      <family val="2"/>
    </font>
    <font>
      <sz val="9"/>
      <name val="Arial Narrow"/>
      <family val="2"/>
    </font>
    <font>
      <b/>
      <sz val="9"/>
      <name val="Arial Narrow"/>
      <family val="2"/>
    </font>
    <font>
      <sz val="9"/>
      <color indexed="57"/>
      <name val="Arial Narrow"/>
      <family val="2"/>
    </font>
    <font>
      <sz val="9"/>
      <color indexed="10"/>
      <name val="Arial Narrow"/>
      <family val="2"/>
    </font>
    <font>
      <b/>
      <sz val="9"/>
      <color indexed="57"/>
      <name val="Arial Narrow"/>
      <family val="2"/>
    </font>
    <font>
      <sz val="9"/>
      <name val="Arial"/>
      <family val="2"/>
    </font>
    <font>
      <sz val="9"/>
      <name val="Calibri"/>
      <family val="2"/>
    </font>
    <font>
      <sz val="10"/>
      <color indexed="8"/>
      <name val="Arial Narrow"/>
      <family val="2"/>
    </font>
    <font>
      <sz val="9.5"/>
      <color indexed="55"/>
      <name val="Arial"/>
      <family val="2"/>
    </font>
    <font>
      <sz val="9.5"/>
      <name val="Arial"/>
      <family val="2"/>
    </font>
    <font>
      <b/>
      <u val="single"/>
      <sz val="12"/>
      <color indexed="8"/>
      <name val="Arial Narrow"/>
      <family val="2"/>
    </font>
    <font>
      <sz val="12"/>
      <color indexed="8"/>
      <name val="Arial Narrow"/>
      <family val="2"/>
    </font>
    <font>
      <sz val="10"/>
      <name val="Arial Narrow"/>
      <family val="2"/>
    </font>
    <font>
      <b/>
      <sz val="10"/>
      <color indexed="8"/>
      <name val="Arial Narrow"/>
      <family val="2"/>
    </font>
    <font>
      <b/>
      <sz val="8"/>
      <color indexed="8"/>
      <name val="Arial Narrow"/>
      <family val="2"/>
    </font>
    <font>
      <b/>
      <sz val="10"/>
      <name val="Arial"/>
      <family val="2"/>
    </font>
    <font>
      <b/>
      <sz val="12"/>
      <color indexed="9"/>
      <name val="Arial Narrow"/>
      <family val="2"/>
    </font>
    <font>
      <sz val="12"/>
      <color indexed="9"/>
      <name val="Arial Narrow"/>
      <family val="2"/>
    </font>
    <font>
      <b/>
      <sz val="12"/>
      <name val="Arial Narrow"/>
      <family val="2"/>
    </font>
    <font>
      <b/>
      <sz val="10"/>
      <name val="Arial Narrow"/>
      <family val="2"/>
    </font>
    <font>
      <sz val="14"/>
      <color indexed="8"/>
      <name val="Arial Narrow"/>
      <family val="2"/>
    </font>
    <font>
      <b/>
      <sz val="14"/>
      <name val="Arial Narrow"/>
      <family val="2"/>
    </font>
    <font>
      <b/>
      <sz val="7"/>
      <name val="Arial"/>
      <family val="2"/>
    </font>
    <font>
      <b/>
      <sz val="7"/>
      <name val="Arial Narrow"/>
      <family val="2"/>
    </font>
    <font>
      <sz val="10"/>
      <color indexed="57"/>
      <name val="Arial Narrow"/>
      <family val="2"/>
    </font>
    <font>
      <sz val="24"/>
      <color indexed="10"/>
      <name val="Arial Narrow"/>
      <family val="2"/>
    </font>
    <font>
      <b/>
      <sz val="10"/>
      <color indexed="57"/>
      <name val="Arial Narrow"/>
      <family val="2"/>
    </font>
    <font>
      <sz val="16"/>
      <color indexed="10"/>
      <name val="Arial Narrow"/>
      <family val="2"/>
    </font>
    <font>
      <sz val="8"/>
      <name val="Arial"/>
      <family val="2"/>
    </font>
    <font>
      <b/>
      <sz val="8"/>
      <name val="Arial"/>
      <family val="2"/>
    </font>
    <font>
      <sz val="16"/>
      <color indexed="57"/>
      <name val="Arial Narrow"/>
      <family val="2"/>
    </font>
    <font>
      <sz val="20"/>
      <name val="Arial Narrow"/>
      <family val="2"/>
    </font>
    <font>
      <b/>
      <u val="single"/>
      <sz val="12"/>
      <name val="Arial Narrow"/>
      <family val="2"/>
    </font>
    <font>
      <b/>
      <sz val="8.5"/>
      <name val="Arial Narrow"/>
      <family val="2"/>
    </font>
    <font>
      <sz val="7"/>
      <name val="Arial Narrow"/>
      <family val="2"/>
    </font>
    <font>
      <sz val="8"/>
      <color indexed="48"/>
      <name val="Arial Narrow"/>
      <family val="2"/>
    </font>
    <font>
      <sz val="14"/>
      <name val="Arial Narrow"/>
      <family val="2"/>
    </font>
    <font>
      <sz val="18"/>
      <name val="Arial Narrow"/>
      <family val="2"/>
    </font>
    <font>
      <sz val="12"/>
      <name val="Arial Narrow"/>
      <family val="2"/>
    </font>
    <font>
      <b/>
      <sz val="12"/>
      <color indexed="8"/>
      <name val="Arial Narrow"/>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3"/>
        <bgColor indexed="64"/>
      </patternFill>
    </fill>
  </fills>
  <borders count="62">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22"/>
      </top>
      <bottom>
        <color indexed="63"/>
      </bottom>
    </border>
    <border>
      <left>
        <color indexed="63"/>
      </left>
      <right>
        <color indexed="63"/>
      </right>
      <top style="hair">
        <color indexed="55"/>
      </top>
      <bottom>
        <color indexed="63"/>
      </bottom>
    </border>
    <border>
      <left>
        <color indexed="63"/>
      </left>
      <right>
        <color indexed="63"/>
      </right>
      <top style="medium">
        <color indexed="8"/>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hair">
        <color indexed="22"/>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22"/>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medium">
        <color indexed="8"/>
      </right>
      <top>
        <color indexed="63"/>
      </top>
      <bottom>
        <color indexed="63"/>
      </bottom>
    </border>
    <border>
      <left style="hair">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164" fontId="0" fillId="0" borderId="0" applyFill="0" applyBorder="0" applyAlignment="0" applyProtection="0"/>
    <xf numFmtId="9" fontId="1" fillId="0" borderId="0" applyFill="0" applyBorder="0" applyAlignment="0" applyProtection="0"/>
    <xf numFmtId="164" fontId="0" fillId="0" borderId="0" applyFill="0" applyBorder="0" applyAlignment="0" applyProtection="0"/>
    <xf numFmtId="164" fontId="1" fillId="0" borderId="0">
      <alignment/>
      <protection/>
    </xf>
    <xf numFmtId="164" fontId="0" fillId="0" borderId="0" applyNumberFormat="0" applyFill="0" applyBorder="0" applyAlignment="0" applyProtection="0"/>
    <xf numFmtId="164" fontId="1" fillId="0" borderId="0">
      <alignment/>
      <protection/>
    </xf>
    <xf numFmtId="164" fontId="1" fillId="0" borderId="0">
      <alignment/>
      <protection/>
    </xf>
    <xf numFmtId="164" fontId="2" fillId="0" borderId="0">
      <alignment/>
      <protection/>
    </xf>
    <xf numFmtId="164" fontId="3" fillId="0" borderId="0" applyNumberFormat="0" applyFill="0" applyBorder="0" applyAlignment="0" applyProtection="0"/>
    <xf numFmtId="164" fontId="3" fillId="0" borderId="0" applyNumberFormat="0" applyFill="0" applyBorder="0" applyAlignment="0" applyProtection="0"/>
    <xf numFmtId="164" fontId="1" fillId="0" borderId="0">
      <alignment/>
      <protection/>
    </xf>
    <xf numFmtId="164" fontId="0" fillId="0" borderId="0" applyFill="0" applyBorder="0" applyAlignment="0" applyProtection="0"/>
  </cellStyleXfs>
  <cellXfs count="404">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1" fillId="2" borderId="0" xfId="0" applyFont="1" applyFill="1" applyAlignment="1" applyProtection="1">
      <alignment vertical="top"/>
      <protection locked="0"/>
    </xf>
    <xf numFmtId="164" fontId="4" fillId="0" borderId="0" xfId="0" applyFont="1" applyAlignment="1" applyProtection="1">
      <alignment horizontal="center" vertical="center" wrapText="1"/>
      <protection locked="0"/>
    </xf>
    <xf numFmtId="164" fontId="1" fillId="0" borderId="0" xfId="0" applyFont="1" applyAlignment="1" applyProtection="1">
      <alignment vertical="top"/>
      <protection locked="0"/>
    </xf>
    <xf numFmtId="164" fontId="5" fillId="2" borderId="0" xfId="0" applyFont="1" applyFill="1" applyBorder="1" applyAlignment="1">
      <alignment horizontal="center" vertical="center" wrapText="1"/>
    </xf>
    <xf numFmtId="164" fontId="6" fillId="2" borderId="0" xfId="0" applyFont="1" applyFill="1" applyAlignment="1" applyProtection="1">
      <alignment vertical="top"/>
      <protection locked="0"/>
    </xf>
    <xf numFmtId="164" fontId="6" fillId="0" borderId="0" xfId="0" applyFont="1" applyFill="1" applyAlignment="1" applyProtection="1">
      <alignment vertical="top"/>
      <protection locked="0"/>
    </xf>
    <xf numFmtId="164" fontId="7" fillId="2" borderId="0" xfId="18" applyFont="1" applyFill="1" applyBorder="1" applyAlignment="1" applyProtection="1">
      <alignment horizontal="center" vertical="center"/>
      <protection/>
    </xf>
    <xf numFmtId="165" fontId="6" fillId="2" borderId="0" xfId="18" applyNumberFormat="1" applyFont="1" applyFill="1" applyBorder="1" applyAlignment="1" applyProtection="1">
      <alignment horizontal="center" vertical="center"/>
      <protection/>
    </xf>
    <xf numFmtId="164" fontId="6" fillId="2" borderId="0" xfId="18" applyFont="1" applyFill="1" applyBorder="1" applyAlignment="1" applyProtection="1">
      <alignment horizontal="center" vertical="center" wrapText="1"/>
      <protection/>
    </xf>
    <xf numFmtId="164" fontId="6" fillId="2" borderId="0" xfId="0" applyFont="1" applyFill="1" applyAlignment="1" applyProtection="1">
      <alignment horizontal="center" vertical="top"/>
      <protection locked="0"/>
    </xf>
    <xf numFmtId="164" fontId="6" fillId="2" borderId="0" xfId="0" applyFont="1" applyFill="1" applyBorder="1" applyAlignment="1" applyProtection="1">
      <alignment horizontal="center" vertical="top"/>
      <protection locked="0"/>
    </xf>
    <xf numFmtId="164" fontId="6" fillId="0" borderId="0" xfId="18" applyFont="1" applyFill="1" applyBorder="1" applyAlignment="1" applyProtection="1">
      <alignment vertical="center"/>
      <protection/>
    </xf>
    <xf numFmtId="164" fontId="8" fillId="2" borderId="0" xfId="18" applyFont="1" applyFill="1" applyBorder="1" applyAlignment="1" applyProtection="1">
      <alignment vertical="center"/>
      <protection/>
    </xf>
    <xf numFmtId="164" fontId="6" fillId="2" borderId="0" xfId="18" applyFont="1" applyFill="1" applyBorder="1" applyAlignment="1" applyProtection="1">
      <alignment vertical="center"/>
      <protection/>
    </xf>
    <xf numFmtId="164" fontId="6" fillId="2" borderId="0" xfId="0" applyFont="1" applyFill="1" applyAlignment="1">
      <alignment/>
    </xf>
    <xf numFmtId="164" fontId="6" fillId="2" borderId="0" xfId="0" applyFont="1" applyFill="1" applyBorder="1" applyAlignment="1">
      <alignment horizontal="center"/>
    </xf>
    <xf numFmtId="164" fontId="8" fillId="2" borderId="0" xfId="0" applyFont="1" applyFill="1" applyAlignment="1">
      <alignment/>
    </xf>
    <xf numFmtId="164" fontId="9" fillId="2" borderId="0" xfId="0" applyFont="1" applyFill="1" applyBorder="1" applyAlignment="1">
      <alignment horizontal="center" vertical="center" wrapText="1"/>
    </xf>
    <xf numFmtId="164" fontId="10" fillId="2" borderId="0" xfId="0" applyFont="1" applyFill="1" applyAlignment="1">
      <alignment/>
    </xf>
    <xf numFmtId="164" fontId="10" fillId="2" borderId="0" xfId="0" applyFont="1" applyFill="1" applyAlignment="1">
      <alignment horizontal="center"/>
    </xf>
    <xf numFmtId="164" fontId="10" fillId="2" borderId="1" xfId="0" applyFont="1" applyFill="1" applyBorder="1" applyAlignment="1" applyProtection="1">
      <alignment horizontal="right" vertical="top"/>
      <protection locked="0"/>
    </xf>
    <xf numFmtId="164" fontId="10" fillId="2" borderId="0" xfId="0" applyFont="1" applyFill="1" applyAlignment="1">
      <alignment horizontal="center" vertical="center" wrapText="1"/>
    </xf>
    <xf numFmtId="164" fontId="10" fillId="2" borderId="2" xfId="0" applyFont="1" applyFill="1" applyBorder="1" applyAlignment="1" applyProtection="1">
      <alignment horizontal="center" vertical="center"/>
      <protection locked="0"/>
    </xf>
    <xf numFmtId="164" fontId="10" fillId="2" borderId="2" xfId="0" applyFont="1" applyFill="1" applyBorder="1" applyAlignment="1">
      <alignment horizontal="center" vertical="center"/>
    </xf>
    <xf numFmtId="164" fontId="10" fillId="2" borderId="0" xfId="0" applyFont="1" applyFill="1" applyAlignment="1" applyProtection="1">
      <alignment vertical="top"/>
      <protection locked="0"/>
    </xf>
    <xf numFmtId="164" fontId="10" fillId="2" borderId="0" xfId="0" applyFont="1" applyFill="1" applyAlignment="1" applyProtection="1">
      <alignment horizontal="center" vertical="center" wrapText="1"/>
      <protection locked="0"/>
    </xf>
    <xf numFmtId="164" fontId="11" fillId="3" borderId="3" xfId="0" applyFont="1" applyFill="1" applyBorder="1" applyAlignment="1" applyProtection="1">
      <alignment horizontal="center" vertical="center"/>
      <protection locked="0"/>
    </xf>
    <xf numFmtId="164" fontId="10" fillId="3" borderId="4" xfId="0" applyFont="1" applyFill="1" applyBorder="1" applyAlignment="1" applyProtection="1">
      <alignment horizontal="center" vertical="center"/>
      <protection locked="0"/>
    </xf>
    <xf numFmtId="164" fontId="11" fillId="3" borderId="4" xfId="0" applyFont="1" applyFill="1" applyBorder="1" applyAlignment="1" applyProtection="1">
      <alignment horizontal="left" vertical="center"/>
      <protection locked="0"/>
    </xf>
    <xf numFmtId="164" fontId="10" fillId="3" borderId="4" xfId="0" applyFont="1" applyFill="1" applyBorder="1" applyAlignment="1">
      <alignment horizontal="center" vertical="center"/>
    </xf>
    <xf numFmtId="166" fontId="11" fillId="3" borderId="5" xfId="0" applyNumberFormat="1" applyFont="1" applyFill="1" applyBorder="1" applyAlignment="1" applyProtection="1">
      <alignment horizontal="center" vertical="center"/>
      <protection locked="0"/>
    </xf>
    <xf numFmtId="164" fontId="11" fillId="3" borderId="4" xfId="0" applyFont="1" applyFill="1" applyBorder="1" applyAlignment="1" applyProtection="1">
      <alignment horizontal="center" vertical="center"/>
      <protection locked="0"/>
    </xf>
    <xf numFmtId="164" fontId="11" fillId="2" borderId="0" xfId="0" applyFont="1" applyFill="1" applyBorder="1" applyAlignment="1" applyProtection="1">
      <alignment vertical="center"/>
      <protection locked="0"/>
    </xf>
    <xf numFmtId="164" fontId="10" fillId="0" borderId="0" xfId="0" applyFont="1" applyAlignment="1" applyProtection="1">
      <alignment vertical="top"/>
      <protection locked="0"/>
    </xf>
    <xf numFmtId="164" fontId="10" fillId="0" borderId="6" xfId="0" applyFont="1" applyBorder="1" applyAlignment="1" applyProtection="1">
      <alignment horizontal="center" vertical="center"/>
      <protection locked="0"/>
    </xf>
    <xf numFmtId="164" fontId="10" fillId="2" borderId="7" xfId="0" applyFont="1" applyFill="1" applyBorder="1" applyAlignment="1">
      <alignment vertical="center"/>
    </xf>
    <xf numFmtId="164" fontId="10" fillId="2" borderId="8" xfId="0" applyFont="1" applyFill="1" applyBorder="1" applyAlignment="1">
      <alignment vertical="center" wrapText="1"/>
    </xf>
    <xf numFmtId="167" fontId="10" fillId="0" borderId="6" xfId="0" applyNumberFormat="1" applyFont="1" applyBorder="1" applyAlignment="1" applyProtection="1">
      <alignment horizontal="center" vertical="center"/>
      <protection locked="0"/>
    </xf>
    <xf numFmtId="166" fontId="10" fillId="0" borderId="6" xfId="0" applyNumberFormat="1" applyFont="1" applyBorder="1" applyAlignment="1" applyProtection="1">
      <alignment horizontal="center" vertical="center"/>
      <protection locked="0"/>
    </xf>
    <xf numFmtId="164" fontId="10" fillId="0" borderId="0" xfId="0" applyFont="1" applyAlignment="1" applyProtection="1">
      <alignment horizontal="center" vertical="center" wrapText="1"/>
      <protection locked="0"/>
    </xf>
    <xf numFmtId="164" fontId="12" fillId="0" borderId="0" xfId="0" applyFont="1" applyAlignment="1" applyProtection="1">
      <alignment vertical="top"/>
      <protection locked="0"/>
    </xf>
    <xf numFmtId="164" fontId="10" fillId="0" borderId="9" xfId="0" applyFont="1" applyBorder="1" applyAlignment="1" applyProtection="1">
      <alignment horizontal="center" vertical="center"/>
      <protection locked="0"/>
    </xf>
    <xf numFmtId="164" fontId="10" fillId="2" borderId="9" xfId="0" applyFont="1" applyFill="1" applyBorder="1" applyAlignment="1">
      <alignment vertical="center"/>
    </xf>
    <xf numFmtId="164" fontId="10" fillId="2" borderId="9" xfId="0" applyFont="1" applyFill="1" applyBorder="1" applyAlignment="1">
      <alignment vertical="center" wrapText="1"/>
    </xf>
    <xf numFmtId="167" fontId="10" fillId="0" borderId="9" xfId="0" applyNumberFormat="1" applyFont="1" applyBorder="1" applyAlignment="1" applyProtection="1">
      <alignment horizontal="center" vertical="center"/>
      <protection locked="0"/>
    </xf>
    <xf numFmtId="166" fontId="10" fillId="0" borderId="9" xfId="0" applyNumberFormat="1" applyFont="1" applyBorder="1" applyAlignment="1" applyProtection="1">
      <alignment horizontal="center" vertical="center"/>
      <protection locked="0"/>
    </xf>
    <xf numFmtId="164" fontId="10" fillId="0" borderId="9" xfId="0" applyFont="1" applyBorder="1" applyAlignment="1" applyProtection="1">
      <alignment horizontal="center" vertical="center" wrapText="1"/>
      <protection locked="0"/>
    </xf>
    <xf numFmtId="164" fontId="13" fillId="0" borderId="0" xfId="0" applyFont="1" applyAlignment="1" applyProtection="1">
      <alignment horizontal="center" vertical="center" wrapText="1"/>
      <protection locked="0"/>
    </xf>
    <xf numFmtId="164" fontId="10" fillId="2" borderId="9" xfId="26" applyNumberFormat="1" applyFont="1" applyFill="1" applyBorder="1" applyAlignment="1" applyProtection="1">
      <alignment horizontal="center" vertical="center" wrapText="1"/>
      <protection/>
    </xf>
    <xf numFmtId="166" fontId="10" fillId="2" borderId="9" xfId="26" applyNumberFormat="1" applyFont="1" applyFill="1" applyBorder="1" applyAlignment="1" applyProtection="1">
      <alignment horizontal="center" vertical="center" wrapText="1"/>
      <protection/>
    </xf>
    <xf numFmtId="164" fontId="11" fillId="2" borderId="0" xfId="26" applyNumberFormat="1" applyFont="1" applyFill="1" applyBorder="1" applyAlignment="1" applyProtection="1">
      <alignment/>
      <protection/>
    </xf>
    <xf numFmtId="164" fontId="14" fillId="0" borderId="0" xfId="26" applyNumberFormat="1" applyFont="1" applyFill="1" applyBorder="1" applyAlignment="1" applyProtection="1">
      <alignment/>
      <protection/>
    </xf>
    <xf numFmtId="164" fontId="10" fillId="2" borderId="9" xfId="26" applyNumberFormat="1" applyFont="1" applyFill="1" applyBorder="1" applyAlignment="1" applyProtection="1">
      <alignment horizontal="left" vertical="center"/>
      <protection/>
    </xf>
    <xf numFmtId="167" fontId="10" fillId="2" borderId="9" xfId="26" applyNumberFormat="1" applyFont="1" applyFill="1" applyBorder="1" applyAlignment="1" applyProtection="1">
      <alignment horizontal="center" vertical="center" wrapText="1"/>
      <protection/>
    </xf>
    <xf numFmtId="164" fontId="10" fillId="0" borderId="10" xfId="0" applyFont="1" applyBorder="1" applyAlignment="1" applyProtection="1">
      <alignment horizontal="center" vertical="center"/>
      <protection locked="0"/>
    </xf>
    <xf numFmtId="164" fontId="10" fillId="0" borderId="10" xfId="0" applyFont="1" applyBorder="1" applyAlignment="1" applyProtection="1">
      <alignment vertical="center"/>
      <protection locked="0"/>
    </xf>
    <xf numFmtId="164" fontId="10" fillId="0" borderId="10" xfId="0" applyFont="1" applyBorder="1" applyAlignment="1">
      <alignment vertical="center"/>
    </xf>
    <xf numFmtId="164" fontId="11" fillId="3" borderId="4" xfId="0" applyFont="1" applyFill="1" applyBorder="1" applyAlignment="1" applyProtection="1">
      <alignment vertical="center" wrapText="1"/>
      <protection locked="0"/>
    </xf>
    <xf numFmtId="164" fontId="10" fillId="2" borderId="9" xfId="0" applyFont="1" applyFill="1" applyBorder="1" applyAlignment="1" applyProtection="1">
      <alignment horizontal="center" vertical="center"/>
      <protection locked="0"/>
    </xf>
    <xf numFmtId="167" fontId="10" fillId="2" borderId="9" xfId="0" applyNumberFormat="1" applyFont="1" applyFill="1" applyBorder="1" applyAlignment="1" applyProtection="1">
      <alignment horizontal="center" vertical="center"/>
      <protection locked="0"/>
    </xf>
    <xf numFmtId="166" fontId="10" fillId="2" borderId="9" xfId="0" applyNumberFormat="1" applyFont="1" applyFill="1" applyBorder="1" applyAlignment="1" applyProtection="1">
      <alignment horizontal="center" vertical="center"/>
      <protection locked="0"/>
    </xf>
    <xf numFmtId="164" fontId="10" fillId="2" borderId="9" xfId="0" applyFont="1" applyFill="1" applyBorder="1" applyAlignment="1" applyProtection="1">
      <alignment horizontal="center" vertical="center" wrapText="1"/>
      <protection locked="0"/>
    </xf>
    <xf numFmtId="164" fontId="12" fillId="2" borderId="0" xfId="0" applyFont="1" applyFill="1" applyAlignment="1" applyProtection="1">
      <alignment vertical="top"/>
      <protection locked="0"/>
    </xf>
    <xf numFmtId="164" fontId="10" fillId="0" borderId="9" xfId="0" applyFont="1" applyFill="1" applyBorder="1" applyAlignment="1" applyProtection="1">
      <alignment horizontal="center" vertical="center"/>
      <protection locked="0"/>
    </xf>
    <xf numFmtId="166" fontId="10" fillId="2" borderId="9" xfId="0" applyNumberFormat="1" applyFont="1" applyFill="1" applyBorder="1" applyAlignment="1">
      <alignment horizontal="center" vertical="center"/>
    </xf>
    <xf numFmtId="164" fontId="13" fillId="2" borderId="0" xfId="0" applyFont="1" applyFill="1" applyBorder="1" applyAlignment="1" applyProtection="1">
      <alignment horizontal="center" vertical="center" wrapText="1"/>
      <protection locked="0"/>
    </xf>
    <xf numFmtId="164" fontId="15" fillId="0" borderId="9" xfId="0" applyFont="1" applyBorder="1" applyAlignment="1">
      <alignment/>
    </xf>
    <xf numFmtId="164" fontId="15" fillId="0" borderId="9" xfId="0" applyFont="1" applyBorder="1" applyAlignment="1">
      <alignment/>
    </xf>
    <xf numFmtId="164" fontId="15" fillId="0" borderId="9" xfId="0" applyFont="1" applyBorder="1" applyAlignment="1">
      <alignment horizontal="center"/>
    </xf>
    <xf numFmtId="164" fontId="15" fillId="2" borderId="0" xfId="0" applyFont="1" applyFill="1" applyAlignment="1" applyProtection="1">
      <alignment vertical="top"/>
      <protection locked="0"/>
    </xf>
    <xf numFmtId="164" fontId="15" fillId="0" borderId="9" xfId="0" applyFont="1" applyBorder="1" applyAlignment="1" applyProtection="1">
      <alignment horizontal="center" vertical="center" wrapText="1"/>
      <protection locked="0"/>
    </xf>
    <xf numFmtId="164" fontId="15" fillId="0" borderId="0" xfId="0" applyFont="1" applyAlignment="1" applyProtection="1">
      <alignment vertical="top"/>
      <protection locked="0"/>
    </xf>
    <xf numFmtId="164" fontId="11" fillId="2" borderId="0" xfId="27" applyNumberFormat="1" applyFont="1" applyFill="1" applyBorder="1" applyAlignment="1" applyProtection="1">
      <alignment vertical="center" wrapText="1"/>
      <protection/>
    </xf>
    <xf numFmtId="167" fontId="12" fillId="2" borderId="9" xfId="0" applyNumberFormat="1" applyFont="1" applyFill="1" applyBorder="1" applyAlignment="1" applyProtection="1">
      <alignment horizontal="center" vertical="center"/>
      <protection locked="0"/>
    </xf>
    <xf numFmtId="164" fontId="10" fillId="2" borderId="0" xfId="0" applyFont="1" applyFill="1" applyBorder="1" applyAlignment="1" applyProtection="1">
      <alignment horizontal="center" vertical="center" wrapText="1"/>
      <protection locked="0"/>
    </xf>
    <xf numFmtId="167" fontId="12" fillId="0" borderId="9" xfId="0" applyNumberFormat="1" applyFont="1" applyBorder="1" applyAlignment="1" applyProtection="1">
      <alignment horizontal="center" vertical="center"/>
      <protection locked="0"/>
    </xf>
    <xf numFmtId="168" fontId="10" fillId="2" borderId="9" xfId="0" applyNumberFormat="1" applyFont="1" applyFill="1" applyBorder="1" applyAlignment="1">
      <alignment vertical="center" wrapText="1"/>
    </xf>
    <xf numFmtId="168" fontId="10" fillId="0" borderId="9" xfId="0" applyNumberFormat="1" applyFont="1" applyBorder="1" applyAlignment="1">
      <alignment vertical="center" wrapText="1"/>
    </xf>
    <xf numFmtId="164" fontId="15" fillId="0" borderId="0" xfId="0" applyFont="1" applyBorder="1" applyAlignment="1">
      <alignment/>
    </xf>
    <xf numFmtId="164" fontId="15" fillId="0" borderId="0" xfId="0" applyFont="1" applyBorder="1" applyAlignment="1">
      <alignment/>
    </xf>
    <xf numFmtId="164" fontId="15" fillId="0" borderId="0" xfId="0" applyFont="1" applyBorder="1" applyAlignment="1">
      <alignment horizontal="center"/>
    </xf>
    <xf numFmtId="164" fontId="11" fillId="3" borderId="4" xfId="0" applyFont="1" applyFill="1" applyBorder="1" applyAlignment="1" applyProtection="1">
      <alignment vertical="center"/>
      <protection locked="0"/>
    </xf>
    <xf numFmtId="164" fontId="10" fillId="2" borderId="9" xfId="0" applyFont="1" applyFill="1" applyBorder="1" applyAlignment="1">
      <alignment horizontal="left" vertical="center" wrapText="1"/>
    </xf>
    <xf numFmtId="164" fontId="11" fillId="2" borderId="0" xfId="0" applyFont="1" applyFill="1" applyAlignment="1" applyProtection="1">
      <alignment horizontal="center" vertical="center"/>
      <protection locked="0"/>
    </xf>
    <xf numFmtId="164" fontId="12" fillId="2" borderId="0" xfId="0" applyFont="1" applyFill="1" applyBorder="1" applyAlignment="1" applyProtection="1">
      <alignment horizontal="center" vertical="center" wrapText="1"/>
      <protection locked="0"/>
    </xf>
    <xf numFmtId="164" fontId="15" fillId="0" borderId="0" xfId="0" applyFont="1" applyAlignment="1">
      <alignment/>
    </xf>
    <xf numFmtId="164" fontId="15" fillId="0" borderId="0" xfId="0" applyFont="1" applyAlignment="1">
      <alignment/>
    </xf>
    <xf numFmtId="164" fontId="15" fillId="0" borderId="0" xfId="0" applyFont="1" applyAlignment="1">
      <alignment horizontal="center"/>
    </xf>
    <xf numFmtId="164" fontId="10" fillId="2" borderId="9" xfId="0" applyFont="1" applyFill="1" applyBorder="1" applyAlignment="1">
      <alignment horizontal="center" vertical="center" wrapText="1"/>
    </xf>
    <xf numFmtId="164" fontId="10" fillId="0" borderId="0" xfId="0" applyFont="1" applyFill="1" applyBorder="1" applyAlignment="1" applyProtection="1">
      <alignment horizontal="center" vertical="center"/>
      <protection locked="0"/>
    </xf>
    <xf numFmtId="164" fontId="10" fillId="2" borderId="0" xfId="0" applyFont="1" applyFill="1" applyBorder="1" applyAlignment="1">
      <alignment vertical="center"/>
    </xf>
    <xf numFmtId="164" fontId="10" fillId="2" borderId="0" xfId="0" applyFont="1" applyFill="1" applyBorder="1" applyAlignment="1">
      <alignment vertical="center" wrapText="1"/>
    </xf>
    <xf numFmtId="164" fontId="10" fillId="0" borderId="0" xfId="0" applyFont="1" applyBorder="1" applyAlignment="1" applyProtection="1">
      <alignment horizontal="center" vertical="center"/>
      <protection locked="0"/>
    </xf>
    <xf numFmtId="167" fontId="10" fillId="0" borderId="0" xfId="0" applyNumberFormat="1" applyFont="1" applyBorder="1" applyAlignment="1" applyProtection="1">
      <alignment horizontal="center" vertical="center"/>
      <protection locked="0"/>
    </xf>
    <xf numFmtId="164" fontId="10" fillId="0" borderId="6" xfId="0" applyFont="1" applyFill="1" applyBorder="1" applyAlignment="1" applyProtection="1">
      <alignment horizontal="center" vertical="center"/>
      <protection locked="0"/>
    </xf>
    <xf numFmtId="164" fontId="10" fillId="2" borderId="9" xfId="0" applyFont="1" applyFill="1" applyBorder="1" applyAlignment="1">
      <alignment horizontal="center" vertical="center"/>
    </xf>
    <xf numFmtId="164" fontId="10" fillId="2" borderId="0" xfId="0" applyFont="1" applyFill="1" applyAlignment="1" applyProtection="1">
      <alignment vertical="center" wrapText="1"/>
      <protection locked="0"/>
    </xf>
    <xf numFmtId="164" fontId="14" fillId="0" borderId="0" xfId="0" applyFont="1" applyBorder="1" applyAlignment="1" applyProtection="1">
      <alignment horizontal="center" vertical="center" wrapText="1"/>
      <protection locked="0"/>
    </xf>
    <xf numFmtId="164" fontId="10" fillId="2" borderId="7" xfId="0" applyFont="1" applyFill="1" applyBorder="1" applyAlignment="1">
      <alignment horizontal="center" vertical="center"/>
    </xf>
    <xf numFmtId="168" fontId="10" fillId="0" borderId="6" xfId="0" applyNumberFormat="1" applyFont="1" applyBorder="1" applyAlignment="1">
      <alignment vertical="center" wrapText="1"/>
    </xf>
    <xf numFmtId="164" fontId="10" fillId="0" borderId="1" xfId="0" applyFont="1" applyFill="1" applyBorder="1" applyAlignment="1" applyProtection="1">
      <alignment horizontal="center" vertical="center"/>
      <protection locked="0"/>
    </xf>
    <xf numFmtId="164" fontId="10" fillId="2" borderId="1" xfId="0" applyFont="1" applyFill="1" applyBorder="1" applyAlignment="1">
      <alignment vertical="center"/>
    </xf>
    <xf numFmtId="164" fontId="10" fillId="2" borderId="1" xfId="0" applyFont="1" applyFill="1" applyBorder="1" applyAlignment="1">
      <alignment horizontal="left" vertical="center" wrapText="1"/>
    </xf>
    <xf numFmtId="164" fontId="10" fillId="0" borderId="1" xfId="0" applyFont="1" applyBorder="1" applyAlignment="1" applyProtection="1">
      <alignment horizontal="center" vertical="center"/>
      <protection locked="0"/>
    </xf>
    <xf numFmtId="167" fontId="10" fillId="0" borderId="1" xfId="0" applyNumberFormat="1" applyFont="1" applyBorder="1" applyAlignment="1" applyProtection="1">
      <alignment horizontal="center" vertical="center"/>
      <protection locked="0"/>
    </xf>
    <xf numFmtId="166" fontId="10" fillId="2" borderId="11" xfId="21" applyNumberFormat="1" applyFont="1" applyFill="1" applyBorder="1" applyAlignment="1">
      <alignment horizontal="center" vertical="center"/>
      <protection/>
    </xf>
    <xf numFmtId="166" fontId="10" fillId="2" borderId="0" xfId="22" applyNumberFormat="1" applyFont="1" applyFill="1" applyBorder="1" applyAlignment="1" applyProtection="1">
      <alignment horizontal="center" vertical="center"/>
      <protection locked="0"/>
    </xf>
    <xf numFmtId="164" fontId="16" fillId="2" borderId="0" xfId="22" applyNumberFormat="1" applyFont="1" applyFill="1" applyBorder="1" applyAlignment="1" applyProtection="1">
      <alignment vertical="center"/>
      <protection locked="0"/>
    </xf>
    <xf numFmtId="169" fontId="10" fillId="2" borderId="12" xfId="21" applyNumberFormat="1" applyFont="1" applyFill="1" applyBorder="1" applyAlignment="1">
      <alignment horizontal="center" vertical="center"/>
      <protection/>
    </xf>
    <xf numFmtId="166" fontId="10" fillId="2" borderId="12" xfId="22" applyNumberFormat="1" applyFont="1" applyFill="1" applyBorder="1" applyAlignment="1" applyProtection="1">
      <alignment horizontal="center" vertical="center"/>
      <protection locked="0"/>
    </xf>
    <xf numFmtId="166" fontId="11" fillId="2" borderId="0" xfId="21" applyNumberFormat="1" applyFont="1" applyFill="1" applyBorder="1" applyAlignment="1">
      <alignment horizontal="center" vertical="center"/>
      <protection/>
    </xf>
    <xf numFmtId="166" fontId="11" fillId="2" borderId="0" xfId="22" applyNumberFormat="1" applyFont="1" applyFill="1" applyBorder="1" applyAlignment="1" applyProtection="1">
      <alignment horizontal="center" vertical="center"/>
      <protection locked="0"/>
    </xf>
    <xf numFmtId="164" fontId="15" fillId="0" borderId="0" xfId="0" applyFont="1" applyAlignment="1" applyProtection="1">
      <alignment horizontal="center" vertical="center" wrapText="1"/>
      <protection locked="0"/>
    </xf>
    <xf numFmtId="167" fontId="15" fillId="0" borderId="0" xfId="0" applyNumberFormat="1" applyFont="1" applyAlignment="1">
      <alignment/>
    </xf>
    <xf numFmtId="164" fontId="17" fillId="0" borderId="0" xfId="0" applyFont="1" applyAlignment="1" applyProtection="1">
      <alignment vertical="top"/>
      <protection locked="0"/>
    </xf>
    <xf numFmtId="164" fontId="17" fillId="2" borderId="0" xfId="0" applyFont="1" applyFill="1" applyAlignment="1" applyProtection="1">
      <alignment vertical="top"/>
      <protection locked="0"/>
    </xf>
    <xf numFmtId="164" fontId="5" fillId="2" borderId="0" xfId="0" applyFont="1" applyFill="1" applyAlignment="1">
      <alignment vertical="center" wrapText="1"/>
    </xf>
    <xf numFmtId="164" fontId="18" fillId="2" borderId="0" xfId="24" applyFont="1" applyFill="1" applyBorder="1" applyAlignment="1">
      <alignment horizontal="center" vertical="center"/>
      <protection/>
    </xf>
    <xf numFmtId="164" fontId="19" fillId="2" borderId="0" xfId="24" applyFont="1" applyFill="1" applyBorder="1" applyAlignment="1">
      <alignment vertical="center"/>
      <protection/>
    </xf>
    <xf numFmtId="164" fontId="19" fillId="2" borderId="0" xfId="24" applyFont="1" applyFill="1" applyBorder="1" applyAlignment="1">
      <alignment horizontal="right" vertical="center"/>
      <protection/>
    </xf>
    <xf numFmtId="170" fontId="18" fillId="2" borderId="0" xfId="24" applyNumberFormat="1" applyFont="1" applyFill="1" applyBorder="1" applyAlignment="1">
      <alignment horizontal="center" vertical="center"/>
      <protection/>
    </xf>
    <xf numFmtId="164" fontId="20" fillId="2" borderId="0" xfId="27" applyNumberFormat="1" applyFont="1" applyFill="1" applyBorder="1" applyAlignment="1" applyProtection="1">
      <alignment horizontal="center" vertical="center"/>
      <protection/>
    </xf>
    <xf numFmtId="164" fontId="21" fillId="2" borderId="0" xfId="0" applyFont="1" applyFill="1" applyAlignment="1" applyProtection="1">
      <alignment vertical="top"/>
      <protection locked="0"/>
    </xf>
    <xf numFmtId="164" fontId="21" fillId="0" borderId="0" xfId="0" applyFont="1" applyAlignment="1" applyProtection="1">
      <alignment vertical="top"/>
      <protection locked="0"/>
    </xf>
    <xf numFmtId="164" fontId="17" fillId="2" borderId="0" xfId="27" applyNumberFormat="1" applyFont="1" applyFill="1" applyBorder="1" applyAlignment="1" applyProtection="1">
      <alignment vertical="center"/>
      <protection/>
    </xf>
    <xf numFmtId="164" fontId="17" fillId="2" borderId="0" xfId="27" applyNumberFormat="1" applyFont="1" applyFill="1" applyBorder="1" applyAlignment="1" applyProtection="1">
      <alignment horizontal="center" vertical="center"/>
      <protection/>
    </xf>
    <xf numFmtId="164" fontId="17" fillId="2" borderId="0" xfId="27" applyNumberFormat="1" applyFont="1" applyFill="1" applyBorder="1" applyAlignment="1" applyProtection="1">
      <alignment vertical="center" wrapText="1"/>
      <protection/>
    </xf>
    <xf numFmtId="164" fontId="22" fillId="2" borderId="0" xfId="27" applyNumberFormat="1" applyFont="1" applyFill="1" applyBorder="1" applyAlignment="1" applyProtection="1">
      <alignment vertical="center"/>
      <protection/>
    </xf>
    <xf numFmtId="164" fontId="23" fillId="4" borderId="13" xfId="27" applyNumberFormat="1" applyFont="1" applyFill="1" applyBorder="1" applyAlignment="1" applyProtection="1">
      <alignment horizontal="center" vertical="center"/>
      <protection/>
    </xf>
    <xf numFmtId="164" fontId="23" fillId="2" borderId="0" xfId="27" applyNumberFormat="1" applyFont="1" applyFill="1" applyBorder="1" applyAlignment="1" applyProtection="1">
      <alignment horizontal="left" vertical="center" wrapText="1"/>
      <protection/>
    </xf>
    <xf numFmtId="164" fontId="23" fillId="5" borderId="14" xfId="27" applyNumberFormat="1" applyFont="1" applyFill="1" applyBorder="1" applyAlignment="1" applyProtection="1">
      <alignment horizontal="center" vertical="center" wrapText="1"/>
      <protection/>
    </xf>
    <xf numFmtId="164" fontId="23" fillId="5" borderId="14" xfId="27" applyNumberFormat="1" applyFont="1" applyFill="1" applyBorder="1" applyAlignment="1" applyProtection="1">
      <alignment horizontal="left" vertical="center" wrapText="1"/>
      <protection/>
    </xf>
    <xf numFmtId="164" fontId="17" fillId="2" borderId="11" xfId="27" applyNumberFormat="1" applyFont="1" applyFill="1" applyBorder="1" applyAlignment="1" applyProtection="1">
      <alignment horizontal="center" vertical="center"/>
      <protection/>
    </xf>
    <xf numFmtId="164" fontId="17" fillId="2" borderId="11" xfId="27" applyNumberFormat="1" applyFont="1" applyFill="1" applyBorder="1" applyAlignment="1" applyProtection="1">
      <alignment horizontal="center" vertical="center" wrapText="1"/>
      <protection/>
    </xf>
    <xf numFmtId="164" fontId="17" fillId="2" borderId="11" xfId="27" applyNumberFormat="1" applyFont="1" applyFill="1" applyBorder="1" applyAlignment="1" applyProtection="1">
      <alignment horizontal="left" vertical="center" wrapText="1"/>
      <protection/>
    </xf>
    <xf numFmtId="171" fontId="17" fillId="2" borderId="11" xfId="27" applyNumberFormat="1" applyFont="1" applyFill="1" applyBorder="1" applyAlignment="1" applyProtection="1">
      <alignment horizontal="center" vertical="center"/>
      <protection/>
    </xf>
    <xf numFmtId="170" fontId="17" fillId="2" borderId="11" xfId="29" applyNumberFormat="1" applyFont="1" applyFill="1" applyBorder="1" applyAlignment="1" applyProtection="1">
      <alignment horizontal="center" vertical="center"/>
      <protection locked="0"/>
    </xf>
    <xf numFmtId="172" fontId="17" fillId="2" borderId="11" xfId="20" applyNumberFormat="1" applyFont="1" applyFill="1" applyBorder="1" applyAlignment="1" applyProtection="1">
      <alignment horizontal="center" vertical="center"/>
      <protection/>
    </xf>
    <xf numFmtId="173" fontId="17" fillId="2" borderId="11" xfId="27" applyNumberFormat="1" applyFont="1" applyFill="1" applyBorder="1" applyAlignment="1" applyProtection="1">
      <alignment horizontal="center" vertical="center"/>
      <protection/>
    </xf>
    <xf numFmtId="166" fontId="17" fillId="2" borderId="11" xfId="27" applyNumberFormat="1" applyFont="1" applyFill="1" applyBorder="1" applyAlignment="1" applyProtection="1">
      <alignment horizontal="center" vertical="center"/>
      <protection/>
    </xf>
    <xf numFmtId="164" fontId="17" fillId="2" borderId="9" xfId="27" applyNumberFormat="1" applyFont="1" applyFill="1" applyBorder="1" applyAlignment="1" applyProtection="1">
      <alignment horizontal="center" vertical="center"/>
      <protection/>
    </xf>
    <xf numFmtId="164" fontId="17" fillId="2" borderId="9" xfId="27" applyNumberFormat="1" applyFont="1" applyFill="1" applyBorder="1" applyAlignment="1" applyProtection="1">
      <alignment horizontal="center" vertical="center" wrapText="1"/>
      <protection/>
    </xf>
    <xf numFmtId="164" fontId="17" fillId="2" borderId="9" xfId="27" applyNumberFormat="1" applyFont="1" applyFill="1" applyBorder="1" applyAlignment="1" applyProtection="1">
      <alignment horizontal="left" vertical="center" wrapText="1"/>
      <protection/>
    </xf>
    <xf numFmtId="171" fontId="17" fillId="2" borderId="9" xfId="27" applyNumberFormat="1" applyFont="1" applyFill="1" applyBorder="1" applyAlignment="1" applyProtection="1">
      <alignment horizontal="center" vertical="center"/>
      <protection/>
    </xf>
    <xf numFmtId="170" fontId="17" fillId="2" borderId="9" xfId="29" applyNumberFormat="1" applyFont="1" applyFill="1" applyBorder="1" applyAlignment="1" applyProtection="1">
      <alignment horizontal="center" vertical="center"/>
      <protection locked="0"/>
    </xf>
    <xf numFmtId="172" fontId="17" fillId="2" borderId="9" xfId="20" applyNumberFormat="1" applyFont="1" applyFill="1" applyBorder="1" applyAlignment="1" applyProtection="1">
      <alignment horizontal="center" vertical="center"/>
      <protection/>
    </xf>
    <xf numFmtId="173" fontId="17" fillId="2" borderId="9" xfId="27" applyNumberFormat="1" applyFont="1" applyFill="1" applyBorder="1" applyAlignment="1" applyProtection="1">
      <alignment horizontal="center" vertical="center"/>
      <protection/>
    </xf>
    <xf numFmtId="166" fontId="17" fillId="2" borderId="9" xfId="27" applyNumberFormat="1" applyFont="1" applyFill="1" applyBorder="1" applyAlignment="1" applyProtection="1">
      <alignment horizontal="center" vertical="center"/>
      <protection/>
    </xf>
    <xf numFmtId="164" fontId="17" fillId="2" borderId="1" xfId="27" applyNumberFormat="1" applyFont="1" applyFill="1" applyBorder="1" applyAlignment="1" applyProtection="1">
      <alignment horizontal="center" vertical="center"/>
      <protection/>
    </xf>
    <xf numFmtId="164" fontId="17" fillId="2" borderId="1" xfId="27" applyNumberFormat="1" applyFont="1" applyFill="1" applyBorder="1" applyAlignment="1" applyProtection="1">
      <alignment horizontal="left" vertical="center" wrapText="1"/>
      <protection/>
    </xf>
    <xf numFmtId="171" fontId="17" fillId="2" borderId="1" xfId="27" applyNumberFormat="1" applyFont="1" applyFill="1" applyBorder="1" applyAlignment="1" applyProtection="1">
      <alignment horizontal="center" vertical="center"/>
      <protection/>
    </xf>
    <xf numFmtId="170" fontId="17" fillId="2" borderId="1" xfId="29" applyNumberFormat="1" applyFont="1" applyFill="1" applyBorder="1" applyAlignment="1" applyProtection="1">
      <alignment horizontal="center" vertical="center"/>
      <protection locked="0"/>
    </xf>
    <xf numFmtId="172" fontId="17" fillId="2" borderId="1" xfId="20" applyNumberFormat="1" applyFont="1" applyFill="1" applyBorder="1" applyAlignment="1" applyProtection="1">
      <alignment horizontal="center" vertical="center"/>
      <protection/>
    </xf>
    <xf numFmtId="173" fontId="17" fillId="2" borderId="1" xfId="27" applyNumberFormat="1" applyFont="1" applyFill="1" applyBorder="1" applyAlignment="1" applyProtection="1">
      <alignment horizontal="center" vertical="center"/>
      <protection/>
    </xf>
    <xf numFmtId="166" fontId="17" fillId="2" borderId="1" xfId="27" applyNumberFormat="1" applyFont="1" applyFill="1" applyBorder="1" applyAlignment="1" applyProtection="1">
      <alignment horizontal="center" vertical="center"/>
      <protection/>
    </xf>
    <xf numFmtId="164" fontId="23" fillId="2" borderId="0" xfId="27" applyNumberFormat="1" applyFont="1" applyFill="1" applyBorder="1" applyAlignment="1" applyProtection="1">
      <alignment vertical="center" wrapText="1"/>
      <protection/>
    </xf>
    <xf numFmtId="164" fontId="23" fillId="2" borderId="0" xfId="27" applyNumberFormat="1" applyFont="1" applyFill="1" applyBorder="1" applyAlignment="1" applyProtection="1">
      <alignment vertical="center"/>
      <protection/>
    </xf>
    <xf numFmtId="166" fontId="23" fillId="2" borderId="0" xfId="27" applyNumberFormat="1" applyFont="1" applyFill="1" applyBorder="1" applyAlignment="1" applyProtection="1">
      <alignment horizontal="center" vertical="center"/>
      <protection/>
    </xf>
    <xf numFmtId="164" fontId="24" fillId="2" borderId="0" xfId="27" applyNumberFormat="1" applyFont="1" applyFill="1" applyBorder="1" applyAlignment="1" applyProtection="1">
      <alignment vertical="center" wrapText="1"/>
      <protection/>
    </xf>
    <xf numFmtId="164" fontId="17" fillId="0" borderId="0" xfId="0" applyFont="1" applyBorder="1" applyAlignment="1" applyProtection="1">
      <alignment horizontal="center" vertical="top"/>
      <protection locked="0"/>
    </xf>
    <xf numFmtId="164" fontId="17" fillId="0" borderId="14" xfId="0" applyFont="1" applyBorder="1" applyAlignment="1" applyProtection="1">
      <alignment horizontal="center" vertical="center" wrapText="1"/>
      <protection locked="0"/>
    </xf>
    <xf numFmtId="174" fontId="17" fillId="0" borderId="0" xfId="0" applyNumberFormat="1" applyFont="1" applyAlignment="1" applyProtection="1">
      <alignment horizontal="center" vertical="center" wrapText="1"/>
      <protection locked="0"/>
    </xf>
    <xf numFmtId="164" fontId="17" fillId="2" borderId="15" xfId="27" applyNumberFormat="1" applyFont="1" applyFill="1" applyBorder="1" applyAlignment="1" applyProtection="1">
      <alignment horizontal="center" vertical="center"/>
      <protection/>
    </xf>
    <xf numFmtId="164" fontId="17" fillId="2" borderId="15" xfId="27" applyNumberFormat="1" applyFont="1" applyFill="1" applyBorder="1" applyAlignment="1" applyProtection="1">
      <alignment horizontal="left" vertical="center" wrapText="1"/>
      <protection/>
    </xf>
    <xf numFmtId="171" fontId="17" fillId="2" borderId="15" xfId="27" applyNumberFormat="1" applyFont="1" applyFill="1" applyBorder="1" applyAlignment="1" applyProtection="1">
      <alignment horizontal="center" vertical="center"/>
      <protection/>
    </xf>
    <xf numFmtId="170" fontId="17" fillId="2" borderId="15" xfId="29" applyNumberFormat="1" applyFont="1" applyFill="1" applyBorder="1" applyAlignment="1" applyProtection="1">
      <alignment horizontal="center" vertical="center"/>
      <protection locked="0"/>
    </xf>
    <xf numFmtId="172" fontId="17" fillId="2" borderId="15" xfId="20" applyNumberFormat="1" applyFont="1" applyFill="1" applyBorder="1" applyAlignment="1" applyProtection="1">
      <alignment horizontal="center" vertical="center"/>
      <protection/>
    </xf>
    <xf numFmtId="173" fontId="17" fillId="2" borderId="15" xfId="27" applyNumberFormat="1" applyFont="1" applyFill="1" applyBorder="1" applyAlignment="1" applyProtection="1">
      <alignment horizontal="center" vertical="center"/>
      <protection/>
    </xf>
    <xf numFmtId="166" fontId="17" fillId="2" borderId="15" xfId="27" applyNumberFormat="1" applyFont="1" applyFill="1" applyBorder="1" applyAlignment="1" applyProtection="1">
      <alignment horizontal="center" vertical="center"/>
      <protection/>
    </xf>
    <xf numFmtId="175" fontId="17" fillId="2" borderId="11" xfId="27" applyNumberFormat="1" applyFont="1" applyFill="1" applyBorder="1" applyAlignment="1" applyProtection="1">
      <alignment horizontal="center" vertical="center"/>
      <protection/>
    </xf>
    <xf numFmtId="175" fontId="17" fillId="2" borderId="9" xfId="27" applyNumberFormat="1" applyFont="1" applyFill="1" applyBorder="1" applyAlignment="1" applyProtection="1">
      <alignment horizontal="center" vertical="center"/>
      <protection/>
    </xf>
    <xf numFmtId="164" fontId="17" fillId="2" borderId="15" xfId="27" applyNumberFormat="1" applyFont="1" applyFill="1" applyBorder="1" applyAlignment="1" applyProtection="1">
      <alignment horizontal="center" vertical="center" wrapText="1"/>
      <protection/>
    </xf>
    <xf numFmtId="175" fontId="17" fillId="2" borderId="15" xfId="27" applyNumberFormat="1" applyFont="1" applyFill="1" applyBorder="1" applyAlignment="1" applyProtection="1">
      <alignment horizontal="center" vertical="center"/>
      <protection/>
    </xf>
    <xf numFmtId="164" fontId="0" fillId="2" borderId="0" xfId="0" applyFill="1" applyAlignment="1" applyProtection="1">
      <alignment vertical="top"/>
      <protection locked="0"/>
    </xf>
    <xf numFmtId="164" fontId="0" fillId="2" borderId="0" xfId="0" applyFill="1" applyAlignment="1">
      <alignment/>
    </xf>
    <xf numFmtId="164" fontId="0" fillId="2" borderId="0" xfId="0" applyFill="1" applyAlignment="1">
      <alignment vertical="center"/>
    </xf>
    <xf numFmtId="164" fontId="0" fillId="2" borderId="0" xfId="0" applyFill="1" applyBorder="1" applyAlignment="1">
      <alignment/>
    </xf>
    <xf numFmtId="164" fontId="25" fillId="2" borderId="0" xfId="0" applyFont="1" applyFill="1" applyBorder="1" applyAlignment="1">
      <alignment horizontal="center" vertical="center"/>
    </xf>
    <xf numFmtId="164" fontId="21" fillId="2" borderId="0" xfId="0" applyFont="1" applyFill="1" applyAlignment="1">
      <alignment vertical="center"/>
    </xf>
    <xf numFmtId="164" fontId="26" fillId="6" borderId="0" xfId="0" applyFont="1" applyFill="1" applyBorder="1" applyAlignment="1">
      <alignment/>
    </xf>
    <xf numFmtId="164" fontId="27" fillId="6" borderId="0" xfId="0" applyFont="1" applyFill="1" applyBorder="1" applyAlignment="1">
      <alignment/>
    </xf>
    <xf numFmtId="164" fontId="28" fillId="2" borderId="0" xfId="0" applyFont="1" applyFill="1" applyBorder="1" applyAlignment="1">
      <alignment horizontal="center" vertical="center"/>
    </xf>
    <xf numFmtId="164" fontId="21" fillId="2" borderId="0" xfId="0" applyFont="1" applyFill="1" applyAlignment="1">
      <alignment/>
    </xf>
    <xf numFmtId="164" fontId="21" fillId="0" borderId="0" xfId="0" applyFont="1" applyAlignment="1">
      <alignment/>
    </xf>
    <xf numFmtId="164" fontId="17" fillId="2" borderId="0" xfId="0" applyFont="1" applyFill="1" applyAlignment="1">
      <alignment vertical="center"/>
    </xf>
    <xf numFmtId="164" fontId="17" fillId="2" borderId="0" xfId="0" applyFont="1" applyFill="1" applyBorder="1" applyAlignment="1">
      <alignment/>
    </xf>
    <xf numFmtId="164" fontId="17" fillId="2" borderId="0" xfId="0" applyFont="1" applyFill="1" applyBorder="1" applyAlignment="1">
      <alignment vertical="center"/>
    </xf>
    <xf numFmtId="167" fontId="29" fillId="2" borderId="0" xfId="0" applyNumberFormat="1" applyFont="1" applyFill="1" applyBorder="1" applyAlignment="1">
      <alignment vertical="center"/>
    </xf>
    <xf numFmtId="164" fontId="17" fillId="2" borderId="0" xfId="0" applyFont="1" applyFill="1" applyAlignment="1">
      <alignment/>
    </xf>
    <xf numFmtId="164" fontId="28" fillId="3" borderId="16" xfId="0" applyFont="1" applyFill="1" applyBorder="1" applyAlignment="1">
      <alignment horizontal="center" vertical="center"/>
    </xf>
    <xf numFmtId="164" fontId="28" fillId="3" borderId="17" xfId="0" applyFont="1" applyFill="1" applyBorder="1" applyAlignment="1">
      <alignment horizontal="center" vertical="center"/>
    </xf>
    <xf numFmtId="164" fontId="21" fillId="3" borderId="18" xfId="0" applyFont="1" applyFill="1" applyBorder="1" applyAlignment="1">
      <alignment horizontal="center" vertical="center"/>
    </xf>
    <xf numFmtId="164" fontId="21" fillId="3" borderId="19" xfId="0" applyFont="1" applyFill="1" applyBorder="1" applyAlignment="1">
      <alignment horizontal="center" vertical="center"/>
    </xf>
    <xf numFmtId="167" fontId="17" fillId="2" borderId="0" xfId="0" applyNumberFormat="1" applyFont="1" applyFill="1" applyBorder="1" applyAlignment="1">
      <alignment vertical="center"/>
    </xf>
    <xf numFmtId="164" fontId="17" fillId="0" borderId="0" xfId="0" applyFont="1" applyAlignment="1">
      <alignment/>
    </xf>
    <xf numFmtId="164" fontId="28" fillId="3" borderId="20" xfId="0" applyFont="1" applyFill="1" applyBorder="1" applyAlignment="1">
      <alignment horizontal="center" vertical="center"/>
    </xf>
    <xf numFmtId="164" fontId="28" fillId="3" borderId="21" xfId="0" applyFont="1" applyFill="1" applyBorder="1" applyAlignment="1">
      <alignment horizontal="center" vertical="center"/>
    </xf>
    <xf numFmtId="164" fontId="28" fillId="0" borderId="22" xfId="0" applyFont="1" applyBorder="1" applyAlignment="1">
      <alignment horizontal="center" vertical="center"/>
    </xf>
    <xf numFmtId="164" fontId="21" fillId="0" borderId="23" xfId="0" applyFont="1" applyBorder="1" applyAlignment="1">
      <alignment horizontal="center" vertical="center"/>
    </xf>
    <xf numFmtId="164" fontId="28" fillId="0" borderId="23" xfId="0" applyFont="1" applyFill="1" applyBorder="1" applyAlignment="1">
      <alignment horizontal="center" vertical="center"/>
    </xf>
    <xf numFmtId="164" fontId="28" fillId="0" borderId="24" xfId="0" applyFont="1" applyFill="1" applyBorder="1" applyAlignment="1">
      <alignment horizontal="center" vertical="center"/>
    </xf>
    <xf numFmtId="164" fontId="28" fillId="3" borderId="22" xfId="0" applyFont="1" applyFill="1" applyBorder="1" applyAlignment="1">
      <alignment horizontal="center" vertical="center"/>
    </xf>
    <xf numFmtId="164" fontId="28" fillId="3" borderId="23" xfId="0" applyFont="1" applyFill="1" applyBorder="1" applyAlignment="1">
      <alignment vertical="center"/>
    </xf>
    <xf numFmtId="176" fontId="28" fillId="3" borderId="23" xfId="0" applyNumberFormat="1" applyFont="1" applyFill="1" applyBorder="1" applyAlignment="1">
      <alignment horizontal="right" vertical="center"/>
    </xf>
    <xf numFmtId="176" fontId="28" fillId="3" borderId="24" xfId="0" applyNumberFormat="1" applyFont="1" applyFill="1" applyBorder="1" applyAlignment="1">
      <alignment horizontal="right" vertical="center"/>
    </xf>
    <xf numFmtId="164" fontId="21" fillId="0" borderId="22" xfId="0" applyFont="1" applyBorder="1" applyAlignment="1">
      <alignment horizontal="center" vertical="center"/>
    </xf>
    <xf numFmtId="164" fontId="21" fillId="0" borderId="23" xfId="0" applyFont="1" applyBorder="1" applyAlignment="1">
      <alignment vertical="center"/>
    </xf>
    <xf numFmtId="176" fontId="21" fillId="0" borderId="23" xfId="0" applyNumberFormat="1" applyFont="1" applyBorder="1" applyAlignment="1">
      <alignment vertical="center"/>
    </xf>
    <xf numFmtId="176" fontId="21" fillId="0" borderId="24" xfId="0" applyNumberFormat="1" applyFont="1" applyBorder="1" applyAlignment="1">
      <alignment vertical="center"/>
    </xf>
    <xf numFmtId="164" fontId="21" fillId="0" borderId="22" xfId="0" applyFont="1" applyBorder="1" applyAlignment="1">
      <alignment horizontal="right" vertical="center"/>
    </xf>
    <xf numFmtId="176" fontId="28" fillId="3" borderId="23" xfId="0" applyNumberFormat="1" applyFont="1" applyFill="1" applyBorder="1" applyAlignment="1">
      <alignment vertical="center"/>
    </xf>
    <xf numFmtId="176" fontId="28" fillId="3" borderId="24" xfId="0" applyNumberFormat="1" applyFont="1" applyFill="1" applyBorder="1" applyAlignment="1">
      <alignment vertical="center"/>
    </xf>
    <xf numFmtId="164" fontId="21" fillId="0" borderId="23" xfId="0" applyFont="1" applyBorder="1" applyAlignment="1">
      <alignment horizontal="left" vertical="center"/>
    </xf>
    <xf numFmtId="176" fontId="21" fillId="0" borderId="23" xfId="0" applyNumberFormat="1" applyFont="1" applyBorder="1" applyAlignment="1">
      <alignment horizontal="right" vertical="center"/>
    </xf>
    <xf numFmtId="176" fontId="21" fillId="3" borderId="23" xfId="0" applyNumberFormat="1" applyFont="1" applyFill="1" applyBorder="1" applyAlignment="1">
      <alignment vertical="center"/>
    </xf>
    <xf numFmtId="176" fontId="28" fillId="3" borderId="0" xfId="0" applyNumberFormat="1" applyFont="1" applyFill="1" applyBorder="1" applyAlignment="1">
      <alignment vertical="center"/>
    </xf>
    <xf numFmtId="164" fontId="29" fillId="2" borderId="0" xfId="0" applyFont="1" applyFill="1" applyBorder="1" applyAlignment="1">
      <alignment vertical="center"/>
    </xf>
    <xf numFmtId="170" fontId="21" fillId="0" borderId="23" xfId="0" applyNumberFormat="1" applyFont="1" applyBorder="1" applyAlignment="1">
      <alignment vertical="center"/>
    </xf>
    <xf numFmtId="170" fontId="21" fillId="0" borderId="24" xfId="0" applyNumberFormat="1" applyFont="1" applyBorder="1" applyAlignment="1">
      <alignment vertical="center"/>
    </xf>
    <xf numFmtId="164" fontId="21" fillId="3" borderId="16" xfId="0" applyFont="1" applyFill="1" applyBorder="1" applyAlignment="1">
      <alignment horizontal="right" vertical="center"/>
    </xf>
    <xf numFmtId="164" fontId="28" fillId="3" borderId="17" xfId="0" applyFont="1" applyFill="1" applyBorder="1" applyAlignment="1">
      <alignment vertical="center"/>
    </xf>
    <xf numFmtId="170" fontId="28" fillId="3" borderId="17" xfId="0" applyNumberFormat="1" applyFont="1" applyFill="1" applyBorder="1" applyAlignment="1">
      <alignment vertical="center"/>
    </xf>
    <xf numFmtId="170" fontId="28" fillId="3" borderId="25" xfId="0" applyNumberFormat="1" applyFont="1" applyFill="1" applyBorder="1" applyAlignment="1">
      <alignment vertical="center"/>
    </xf>
    <xf numFmtId="164" fontId="29" fillId="2" borderId="8" xfId="0" applyFont="1" applyFill="1" applyBorder="1" applyAlignment="1">
      <alignment horizontal="center" vertical="center"/>
    </xf>
    <xf numFmtId="164" fontId="30" fillId="2" borderId="0" xfId="0" applyFont="1" applyFill="1" applyAlignment="1">
      <alignment vertical="center"/>
    </xf>
    <xf numFmtId="164" fontId="31" fillId="2" borderId="0" xfId="0" applyFont="1" applyFill="1" applyBorder="1" applyAlignment="1">
      <alignment horizontal="center" vertical="center"/>
    </xf>
    <xf numFmtId="176" fontId="31" fillId="2" borderId="0" xfId="0" applyNumberFormat="1" applyFont="1" applyFill="1" applyAlignment="1">
      <alignment horizontal="center" vertical="center"/>
    </xf>
    <xf numFmtId="164" fontId="30" fillId="2" borderId="0" xfId="0" applyFont="1" applyFill="1" applyAlignment="1">
      <alignment/>
    </xf>
    <xf numFmtId="164" fontId="32" fillId="0" borderId="0" xfId="0" applyFont="1" applyAlignment="1" applyProtection="1">
      <alignment horizontal="center" vertical="center" wrapText="1"/>
      <protection locked="0"/>
    </xf>
    <xf numFmtId="164" fontId="7" fillId="2" borderId="0" xfId="18" applyFont="1" applyFill="1" applyBorder="1" applyAlignment="1" applyProtection="1">
      <alignment vertical="center"/>
      <protection/>
    </xf>
    <xf numFmtId="164" fontId="7" fillId="2" borderId="0" xfId="0" applyFont="1" applyFill="1" applyAlignment="1">
      <alignment/>
    </xf>
    <xf numFmtId="164" fontId="9" fillId="2" borderId="0" xfId="0" applyFont="1" applyFill="1" applyBorder="1" applyAlignment="1">
      <alignment horizontal="left" vertical="center" wrapText="1"/>
    </xf>
    <xf numFmtId="164" fontId="22" fillId="2" borderId="0" xfId="0" applyFont="1" applyFill="1" applyAlignment="1">
      <alignment/>
    </xf>
    <xf numFmtId="164" fontId="22" fillId="2" borderId="0" xfId="0" applyFont="1" applyFill="1" applyAlignment="1" applyProtection="1">
      <alignment vertical="top"/>
      <protection locked="0"/>
    </xf>
    <xf numFmtId="164" fontId="22" fillId="0" borderId="0" xfId="0" applyFont="1" applyAlignment="1" applyProtection="1">
      <alignment vertical="top"/>
      <protection locked="0"/>
    </xf>
    <xf numFmtId="164" fontId="7" fillId="3" borderId="3" xfId="0" applyFont="1" applyFill="1" applyBorder="1" applyAlignment="1" applyProtection="1">
      <alignment horizontal="center" vertical="center"/>
      <protection locked="0"/>
    </xf>
    <xf numFmtId="164" fontId="6" fillId="3" borderId="4" xfId="0" applyFont="1" applyFill="1" applyBorder="1" applyAlignment="1" applyProtection="1">
      <alignment horizontal="center" vertical="center"/>
      <protection locked="0"/>
    </xf>
    <xf numFmtId="164" fontId="7" fillId="3" borderId="4" xfId="0" applyFont="1" applyFill="1" applyBorder="1" applyAlignment="1" applyProtection="1">
      <alignment horizontal="left" vertical="center"/>
      <protection locked="0"/>
    </xf>
    <xf numFmtId="164" fontId="6" fillId="3" borderId="4" xfId="0" applyFont="1" applyFill="1" applyBorder="1" applyAlignment="1">
      <alignment horizontal="center" vertical="center"/>
    </xf>
    <xf numFmtId="164" fontId="6" fillId="3" borderId="26" xfId="0" applyFont="1" applyFill="1" applyBorder="1" applyAlignment="1">
      <alignment horizontal="center" vertical="center"/>
    </xf>
    <xf numFmtId="166" fontId="7" fillId="3" borderId="5" xfId="0" applyNumberFormat="1" applyFont="1" applyFill="1" applyBorder="1" applyAlignment="1" applyProtection="1">
      <alignment horizontal="center" vertical="center"/>
      <protection locked="0"/>
    </xf>
    <xf numFmtId="164" fontId="33" fillId="3" borderId="27" xfId="0" applyFont="1" applyFill="1" applyBorder="1" applyAlignment="1" applyProtection="1">
      <alignment horizontal="center" vertical="center"/>
      <protection locked="0"/>
    </xf>
    <xf numFmtId="164" fontId="29" fillId="2" borderId="0" xfId="0" applyFont="1" applyFill="1" applyBorder="1" applyAlignment="1" applyProtection="1">
      <alignment vertical="center"/>
      <protection locked="0"/>
    </xf>
    <xf numFmtId="164" fontId="34" fillId="0" borderId="0" xfId="0" applyFont="1" applyAlignment="1" applyProtection="1">
      <alignment vertical="top"/>
      <protection locked="0"/>
    </xf>
    <xf numFmtId="164" fontId="6" fillId="0" borderId="6" xfId="0" applyFont="1" applyBorder="1" applyAlignment="1" applyProtection="1">
      <alignment horizontal="center" vertical="center"/>
      <protection locked="0"/>
    </xf>
    <xf numFmtId="164" fontId="6" fillId="2" borderId="7" xfId="0" applyFont="1" applyFill="1" applyBorder="1" applyAlignment="1">
      <alignment vertical="center"/>
    </xf>
    <xf numFmtId="164" fontId="6" fillId="2" borderId="8" xfId="0" applyFont="1" applyFill="1" applyBorder="1" applyAlignment="1">
      <alignment vertical="center" wrapText="1"/>
    </xf>
    <xf numFmtId="167" fontId="6" fillId="0" borderId="6" xfId="0" applyNumberFormat="1" applyFont="1" applyBorder="1" applyAlignment="1" applyProtection="1">
      <alignment horizontal="center" vertical="center"/>
      <protection locked="0"/>
    </xf>
    <xf numFmtId="166" fontId="6" fillId="0" borderId="6" xfId="0" applyNumberFormat="1" applyFont="1" applyBorder="1" applyAlignment="1" applyProtection="1">
      <alignment horizontal="center" vertical="center"/>
      <protection locked="0"/>
    </xf>
    <xf numFmtId="164" fontId="7" fillId="2" borderId="28" xfId="0" applyFont="1" applyFill="1" applyBorder="1" applyAlignment="1" applyProtection="1">
      <alignment horizontal="center" vertical="center" wrapText="1"/>
      <protection locked="0"/>
    </xf>
    <xf numFmtId="164" fontId="6" fillId="0" borderId="9" xfId="0" applyFont="1" applyBorder="1" applyAlignment="1" applyProtection="1">
      <alignment horizontal="center" vertical="center"/>
      <protection locked="0"/>
    </xf>
    <xf numFmtId="164" fontId="6" fillId="2" borderId="9" xfId="0" applyFont="1" applyFill="1" applyBorder="1" applyAlignment="1">
      <alignment vertical="center"/>
    </xf>
    <xf numFmtId="164" fontId="6" fillId="2" borderId="9" xfId="0" applyFont="1" applyFill="1" applyBorder="1" applyAlignment="1">
      <alignment vertical="center" wrapText="1"/>
    </xf>
    <xf numFmtId="167" fontId="6" fillId="0" borderId="9" xfId="0" applyNumberFormat="1" applyFont="1" applyBorder="1" applyAlignment="1" applyProtection="1">
      <alignment horizontal="center" vertical="center"/>
      <protection locked="0"/>
    </xf>
    <xf numFmtId="166" fontId="6" fillId="0" borderId="9" xfId="0" applyNumberFormat="1" applyFont="1" applyBorder="1" applyAlignment="1" applyProtection="1">
      <alignment horizontal="center" vertical="center"/>
      <protection locked="0"/>
    </xf>
    <xf numFmtId="164" fontId="7" fillId="2" borderId="29" xfId="0" applyFont="1" applyFill="1" applyBorder="1" applyAlignment="1" applyProtection="1">
      <alignment horizontal="center" vertical="center" wrapText="1"/>
      <protection locked="0"/>
    </xf>
    <xf numFmtId="164" fontId="35" fillId="0" borderId="0" xfId="0" applyFont="1" applyAlignment="1" applyProtection="1">
      <alignment horizontal="center" vertical="center" wrapText="1"/>
      <protection locked="0"/>
    </xf>
    <xf numFmtId="164" fontId="6" fillId="2" borderId="9" xfId="26" applyNumberFormat="1" applyFont="1" applyFill="1" applyBorder="1" applyAlignment="1" applyProtection="1">
      <alignment horizontal="center" vertical="center" wrapText="1"/>
      <protection/>
    </xf>
    <xf numFmtId="164" fontId="36" fillId="0" borderId="0" xfId="26" applyNumberFormat="1" applyFont="1" applyFill="1" applyBorder="1" applyAlignment="1" applyProtection="1">
      <alignment/>
      <protection/>
    </xf>
    <xf numFmtId="166" fontId="6" fillId="2" borderId="9" xfId="26" applyNumberFormat="1" applyFont="1" applyFill="1" applyBorder="1" applyAlignment="1" applyProtection="1">
      <alignment horizontal="center" vertical="center" wrapText="1"/>
      <protection/>
    </xf>
    <xf numFmtId="164" fontId="7" fillId="2" borderId="0" xfId="26" applyNumberFormat="1" applyFont="1" applyFill="1" applyBorder="1" applyAlignment="1" applyProtection="1">
      <alignment/>
      <protection/>
    </xf>
    <xf numFmtId="164" fontId="6" fillId="2" borderId="9" xfId="26" applyNumberFormat="1" applyFont="1" applyFill="1" applyBorder="1" applyAlignment="1" applyProtection="1">
      <alignment horizontal="left" vertical="center"/>
      <protection/>
    </xf>
    <xf numFmtId="167" fontId="6" fillId="2" borderId="9" xfId="26" applyNumberFormat="1" applyFont="1" applyFill="1" applyBorder="1" applyAlignment="1" applyProtection="1">
      <alignment horizontal="center" vertical="center" wrapText="1"/>
      <protection/>
    </xf>
    <xf numFmtId="164" fontId="6" fillId="0" borderId="10" xfId="0" applyFont="1" applyBorder="1" applyAlignment="1" applyProtection="1">
      <alignment horizontal="center" vertical="center"/>
      <protection locked="0"/>
    </xf>
    <xf numFmtId="164" fontId="6" fillId="0" borderId="10" xfId="0" applyFont="1" applyBorder="1" applyAlignment="1" applyProtection="1">
      <alignment vertical="center"/>
      <protection locked="0"/>
    </xf>
    <xf numFmtId="164" fontId="6" fillId="0" borderId="10" xfId="0" applyFont="1" applyBorder="1" applyAlignment="1">
      <alignment vertical="center"/>
    </xf>
    <xf numFmtId="164" fontId="7" fillId="2" borderId="0" xfId="0" applyFont="1" applyFill="1" applyBorder="1" applyAlignment="1" applyProtection="1">
      <alignment horizontal="center" vertical="center" wrapText="1"/>
      <protection locked="0"/>
    </xf>
    <xf numFmtId="164" fontId="7" fillId="3" borderId="4" xfId="0" applyFont="1" applyFill="1" applyBorder="1" applyAlignment="1" applyProtection="1">
      <alignment vertical="center" wrapText="1"/>
      <protection locked="0"/>
    </xf>
    <xf numFmtId="164" fontId="34" fillId="2" borderId="0" xfId="0" applyFont="1" applyFill="1" applyAlignment="1" applyProtection="1">
      <alignment vertical="top"/>
      <protection locked="0"/>
    </xf>
    <xf numFmtId="164" fontId="6" fillId="2" borderId="9" xfId="0" applyFont="1" applyFill="1" applyBorder="1" applyAlignment="1" applyProtection="1">
      <alignment horizontal="center" vertical="center"/>
      <protection locked="0"/>
    </xf>
    <xf numFmtId="167" fontId="6" fillId="2" borderId="9" xfId="0" applyNumberFormat="1" applyFont="1" applyFill="1" applyBorder="1" applyAlignment="1" applyProtection="1">
      <alignment horizontal="center" vertical="center"/>
      <protection locked="0"/>
    </xf>
    <xf numFmtId="166" fontId="6" fillId="2" borderId="9" xfId="0" applyNumberFormat="1" applyFont="1" applyFill="1" applyBorder="1" applyAlignment="1" applyProtection="1">
      <alignment horizontal="center" vertical="center"/>
      <protection locked="0"/>
    </xf>
    <xf numFmtId="164" fontId="6" fillId="0" borderId="9" xfId="0" applyFont="1" applyFill="1" applyBorder="1" applyAlignment="1" applyProtection="1">
      <alignment horizontal="center" vertical="center"/>
      <protection locked="0"/>
    </xf>
    <xf numFmtId="164" fontId="33" fillId="2" borderId="29" xfId="0" applyFont="1" applyFill="1" applyBorder="1" applyAlignment="1" applyProtection="1">
      <alignment horizontal="center" vertical="center" wrapText="1"/>
      <protection locked="0"/>
    </xf>
    <xf numFmtId="166" fontId="6" fillId="2" borderId="9" xfId="0" applyNumberFormat="1" applyFont="1" applyFill="1" applyBorder="1" applyAlignment="1">
      <alignment horizontal="center" vertical="center"/>
    </xf>
    <xf numFmtId="164" fontId="37" fillId="2" borderId="0" xfId="0" applyFont="1" applyFill="1" applyBorder="1" applyAlignment="1" applyProtection="1">
      <alignment horizontal="center" vertical="center" wrapText="1"/>
      <protection locked="0"/>
    </xf>
    <xf numFmtId="164" fontId="38" fillId="0" borderId="9" xfId="0" applyFont="1" applyBorder="1" applyAlignment="1">
      <alignment/>
    </xf>
    <xf numFmtId="164" fontId="38" fillId="0" borderId="9" xfId="0" applyFont="1" applyBorder="1" applyAlignment="1">
      <alignment/>
    </xf>
    <xf numFmtId="164" fontId="38" fillId="0" borderId="9" xfId="0" applyFont="1" applyBorder="1" applyAlignment="1">
      <alignment horizontal="center"/>
    </xf>
    <xf numFmtId="164" fontId="38" fillId="2" borderId="0" xfId="0" applyFont="1" applyFill="1" applyAlignment="1" applyProtection="1">
      <alignment vertical="top"/>
      <protection locked="0"/>
    </xf>
    <xf numFmtId="164" fontId="39" fillId="2" borderId="30" xfId="0" applyFont="1" applyFill="1" applyBorder="1" applyAlignment="1" applyProtection="1">
      <alignment horizontal="center" vertical="center" wrapText="1"/>
      <protection locked="0"/>
    </xf>
    <xf numFmtId="164" fontId="7" fillId="2" borderId="6" xfId="0" applyFont="1" applyFill="1" applyBorder="1" applyAlignment="1" applyProtection="1">
      <alignment horizontal="center" vertical="center" wrapText="1"/>
      <protection locked="0"/>
    </xf>
    <xf numFmtId="164" fontId="29" fillId="2" borderId="0" xfId="27" applyNumberFormat="1" applyFont="1" applyFill="1" applyBorder="1" applyAlignment="1" applyProtection="1">
      <alignment vertical="center" wrapText="1"/>
      <protection/>
    </xf>
    <xf numFmtId="167" fontId="34" fillId="2" borderId="9" xfId="0" applyNumberFormat="1" applyFont="1" applyFill="1" applyBorder="1" applyAlignment="1" applyProtection="1">
      <alignment horizontal="center" vertical="center"/>
      <protection locked="0"/>
    </xf>
    <xf numFmtId="164" fontId="6" fillId="2" borderId="0" xfId="0" applyFont="1" applyFill="1" applyBorder="1" applyAlignment="1" applyProtection="1">
      <alignment horizontal="center" vertical="center" wrapText="1"/>
      <protection locked="0"/>
    </xf>
    <xf numFmtId="167" fontId="34" fillId="0" borderId="9" xfId="0" applyNumberFormat="1" applyFont="1" applyBorder="1" applyAlignment="1" applyProtection="1">
      <alignment horizontal="center" vertical="center"/>
      <protection locked="0"/>
    </xf>
    <xf numFmtId="168" fontId="6" fillId="2" borderId="9" xfId="0" applyNumberFormat="1" applyFont="1" applyFill="1" applyBorder="1" applyAlignment="1">
      <alignment vertical="center" wrapText="1"/>
    </xf>
    <xf numFmtId="168" fontId="6" fillId="0" borderId="9" xfId="0" applyNumberFormat="1" applyFont="1" applyBorder="1" applyAlignment="1">
      <alignment vertical="center" wrapText="1"/>
    </xf>
    <xf numFmtId="164" fontId="38" fillId="0" borderId="0" xfId="0" applyFont="1" applyBorder="1" applyAlignment="1">
      <alignment/>
    </xf>
    <xf numFmtId="164" fontId="38" fillId="0" borderId="0" xfId="0" applyFont="1" applyBorder="1" applyAlignment="1">
      <alignment/>
    </xf>
    <xf numFmtId="164" fontId="38" fillId="0" borderId="0" xfId="0" applyFont="1" applyBorder="1" applyAlignment="1">
      <alignment horizontal="center"/>
    </xf>
    <xf numFmtId="164" fontId="7" fillId="3" borderId="4" xfId="0" applyFont="1" applyFill="1" applyBorder="1" applyAlignment="1" applyProtection="1">
      <alignment vertical="center"/>
      <protection locked="0"/>
    </xf>
    <xf numFmtId="164" fontId="7" fillId="2" borderId="0" xfId="0" applyFont="1" applyFill="1" applyAlignment="1" applyProtection="1">
      <alignment horizontal="center" vertical="center"/>
      <protection locked="0"/>
    </xf>
    <xf numFmtId="164" fontId="40" fillId="2" borderId="0" xfId="0" applyFont="1" applyFill="1" applyBorder="1" applyAlignment="1" applyProtection="1">
      <alignment horizontal="center" vertical="center" wrapText="1"/>
      <protection locked="0"/>
    </xf>
    <xf numFmtId="164" fontId="38" fillId="0" borderId="0" xfId="0" applyFont="1" applyAlignment="1">
      <alignment/>
    </xf>
    <xf numFmtId="164" fontId="38" fillId="0" borderId="0" xfId="0" applyFont="1" applyAlignment="1">
      <alignment/>
    </xf>
    <xf numFmtId="164" fontId="38" fillId="0" borderId="0" xfId="0" applyFont="1" applyAlignment="1">
      <alignment horizontal="center"/>
    </xf>
    <xf numFmtId="164" fontId="6" fillId="2" borderId="9" xfId="0" applyFont="1" applyFill="1" applyBorder="1" applyAlignment="1">
      <alignment horizontal="center" vertical="center" wrapText="1"/>
    </xf>
    <xf numFmtId="164" fontId="6" fillId="0" borderId="0" xfId="0" applyFont="1" applyFill="1" applyBorder="1" applyAlignment="1" applyProtection="1">
      <alignment horizontal="center" vertical="center"/>
      <protection locked="0"/>
    </xf>
    <xf numFmtId="164" fontId="6" fillId="2" borderId="0" xfId="0" applyFont="1" applyFill="1" applyBorder="1" applyAlignment="1">
      <alignment vertical="center"/>
    </xf>
    <xf numFmtId="164" fontId="6" fillId="2" borderId="0" xfId="0" applyFont="1" applyFill="1" applyBorder="1" applyAlignment="1">
      <alignment vertical="center" wrapText="1"/>
    </xf>
    <xf numFmtId="164" fontId="6" fillId="0" borderId="0" xfId="0" applyFont="1" applyBorder="1" applyAlignment="1" applyProtection="1">
      <alignment horizontal="center" vertical="center"/>
      <protection locked="0"/>
    </xf>
    <xf numFmtId="167" fontId="6" fillId="0" borderId="0" xfId="0" applyNumberFormat="1" applyFont="1" applyBorder="1" applyAlignment="1" applyProtection="1">
      <alignment horizontal="center" vertical="center"/>
      <protection locked="0"/>
    </xf>
    <xf numFmtId="164" fontId="7" fillId="2" borderId="30" xfId="0" applyFont="1" applyFill="1" applyBorder="1" applyAlignment="1" applyProtection="1">
      <alignment horizontal="center" vertical="center" wrapText="1"/>
      <protection locked="0"/>
    </xf>
    <xf numFmtId="164" fontId="6" fillId="0" borderId="6" xfId="0" applyFont="1" applyFill="1" applyBorder="1" applyAlignment="1" applyProtection="1">
      <alignment horizontal="center" vertical="center"/>
      <protection locked="0"/>
    </xf>
    <xf numFmtId="164" fontId="6" fillId="2" borderId="9" xfId="0" applyFont="1" applyFill="1" applyBorder="1" applyAlignment="1">
      <alignment horizontal="center" vertical="center"/>
    </xf>
    <xf numFmtId="164" fontId="41" fillId="2" borderId="0" xfId="0" applyFont="1" applyFill="1" applyAlignment="1" applyProtection="1">
      <alignment horizontal="center" vertical="center" wrapText="1"/>
      <protection locked="0"/>
    </xf>
    <xf numFmtId="164" fontId="41" fillId="2" borderId="0" xfId="0" applyFont="1" applyFill="1" applyAlignment="1" applyProtection="1">
      <alignment vertical="center" wrapText="1"/>
      <protection locked="0"/>
    </xf>
    <xf numFmtId="164" fontId="36" fillId="0" borderId="0" xfId="0" applyFont="1" applyBorder="1" applyAlignment="1" applyProtection="1">
      <alignment horizontal="center" vertical="center" wrapText="1"/>
      <protection locked="0"/>
    </xf>
    <xf numFmtId="164" fontId="6" fillId="2" borderId="7" xfId="0" applyFont="1" applyFill="1" applyBorder="1" applyAlignment="1">
      <alignment horizontal="center" vertical="center"/>
    </xf>
    <xf numFmtId="168" fontId="6" fillId="0" borderId="6" xfId="0" applyNumberFormat="1" applyFont="1" applyBorder="1" applyAlignment="1">
      <alignment vertical="center" wrapText="1"/>
    </xf>
    <xf numFmtId="167" fontId="1" fillId="0" borderId="0" xfId="0" applyNumberFormat="1" applyFont="1" applyAlignment="1">
      <alignment/>
    </xf>
    <xf numFmtId="164" fontId="23" fillId="0" borderId="0" xfId="0" applyFont="1" applyAlignment="1">
      <alignment/>
    </xf>
    <xf numFmtId="164" fontId="23" fillId="2" borderId="0" xfId="0" applyFont="1" applyFill="1" applyAlignment="1">
      <alignment/>
    </xf>
    <xf numFmtId="165" fontId="42" fillId="2" borderId="10" xfId="28" applyNumberFormat="1" applyFont="1" applyFill="1" applyBorder="1" applyAlignment="1">
      <alignment horizontal="center" vertical="center"/>
      <protection/>
    </xf>
    <xf numFmtId="165" fontId="43" fillId="3" borderId="13" xfId="28" applyNumberFormat="1" applyFont="1" applyFill="1" applyBorder="1" applyAlignment="1">
      <alignment horizontal="center" vertical="center"/>
      <protection/>
    </xf>
    <xf numFmtId="164" fontId="7" fillId="3" borderId="13" xfId="28" applyFont="1" applyFill="1" applyBorder="1" applyAlignment="1">
      <alignment horizontal="center" vertical="center"/>
      <protection/>
    </xf>
    <xf numFmtId="164" fontId="44" fillId="3" borderId="3" xfId="28" applyFont="1" applyFill="1" applyBorder="1" applyAlignment="1">
      <alignment horizontal="right" vertical="center"/>
      <protection/>
    </xf>
    <xf numFmtId="164" fontId="44" fillId="3" borderId="31" xfId="28" applyFont="1" applyFill="1" applyBorder="1" applyAlignment="1">
      <alignment horizontal="right" vertical="center"/>
      <protection/>
    </xf>
    <xf numFmtId="164" fontId="33" fillId="3" borderId="4" xfId="28" applyFont="1" applyFill="1" applyBorder="1" applyAlignment="1">
      <alignment horizontal="right" vertical="center"/>
      <protection/>
    </xf>
    <xf numFmtId="164" fontId="33" fillId="3" borderId="5" xfId="28" applyFont="1" applyFill="1" applyBorder="1" applyAlignment="1">
      <alignment horizontal="right" vertical="center"/>
      <protection/>
    </xf>
    <xf numFmtId="165" fontId="7" fillId="2" borderId="32" xfId="28" applyNumberFormat="1" applyFont="1" applyFill="1" applyBorder="1" applyAlignment="1">
      <alignment horizontal="center" vertical="center"/>
      <protection/>
    </xf>
    <xf numFmtId="164" fontId="6" fillId="2" borderId="33" xfId="28" applyFont="1" applyFill="1" applyBorder="1" applyAlignment="1">
      <alignment vertical="center"/>
      <protection/>
    </xf>
    <xf numFmtId="164" fontId="6" fillId="2" borderId="34" xfId="28" applyFont="1" applyFill="1" applyBorder="1" applyAlignment="1">
      <alignment vertical="center"/>
      <protection/>
    </xf>
    <xf numFmtId="164" fontId="6" fillId="2" borderId="35" xfId="28" applyFont="1" applyFill="1" applyBorder="1" applyAlignment="1">
      <alignment vertical="center"/>
      <protection/>
    </xf>
    <xf numFmtId="164" fontId="6" fillId="2" borderId="0" xfId="28" applyFont="1" applyFill="1" applyBorder="1" applyAlignment="1">
      <alignment vertical="center"/>
      <protection/>
    </xf>
    <xf numFmtId="164" fontId="6" fillId="2" borderId="36" xfId="28" applyFont="1" applyFill="1" applyBorder="1" applyAlignment="1">
      <alignment vertical="center"/>
      <protection/>
    </xf>
    <xf numFmtId="165" fontId="33" fillId="2" borderId="34" xfId="28" applyNumberFormat="1" applyFont="1" applyFill="1" applyBorder="1" applyAlignment="1">
      <alignment horizontal="center" vertical="center"/>
      <protection/>
    </xf>
    <xf numFmtId="164" fontId="33" fillId="2" borderId="36" xfId="28" applyFont="1" applyFill="1" applyBorder="1" applyAlignment="1">
      <alignment vertical="center" wrapText="1"/>
      <protection/>
    </xf>
    <xf numFmtId="164" fontId="45" fillId="7" borderId="34" xfId="28" applyFont="1" applyFill="1" applyBorder="1" applyAlignment="1">
      <alignment vertical="center"/>
      <protection/>
    </xf>
    <xf numFmtId="164" fontId="45" fillId="7" borderId="35" xfId="28" applyFont="1" applyFill="1" applyBorder="1" applyAlignment="1">
      <alignment vertical="center"/>
      <protection/>
    </xf>
    <xf numFmtId="164" fontId="45" fillId="7" borderId="0" xfId="28" applyFont="1" applyFill="1" applyBorder="1" applyAlignment="1">
      <alignment vertical="center"/>
      <protection/>
    </xf>
    <xf numFmtId="164" fontId="45" fillId="7" borderId="36" xfId="28" applyFont="1" applyFill="1" applyBorder="1" applyAlignment="1">
      <alignment vertical="center"/>
      <protection/>
    </xf>
    <xf numFmtId="164" fontId="44" fillId="2" borderId="36" xfId="28" applyFont="1" applyFill="1" applyBorder="1" applyAlignment="1">
      <alignment vertical="center"/>
      <protection/>
    </xf>
    <xf numFmtId="164" fontId="8" fillId="2" borderId="34" xfId="28" applyFont="1" applyFill="1" applyBorder="1" applyAlignment="1">
      <alignment vertical="center"/>
      <protection/>
    </xf>
    <xf numFmtId="164" fontId="8" fillId="2" borderId="35" xfId="28" applyFont="1" applyFill="1" applyBorder="1" applyAlignment="1">
      <alignment vertical="center"/>
      <protection/>
    </xf>
    <xf numFmtId="164" fontId="8" fillId="2" borderId="0" xfId="28" applyFont="1" applyFill="1" applyBorder="1" applyAlignment="1">
      <alignment vertical="center"/>
      <protection/>
    </xf>
    <xf numFmtId="164" fontId="8" fillId="2" borderId="36" xfId="28" applyFont="1" applyFill="1" applyBorder="1" applyAlignment="1">
      <alignment vertical="center"/>
      <protection/>
    </xf>
    <xf numFmtId="164" fontId="8" fillId="7" borderId="37" xfId="28" applyFont="1" applyFill="1" applyBorder="1" applyAlignment="1">
      <alignment vertical="center"/>
      <protection/>
    </xf>
    <xf numFmtId="164" fontId="8" fillId="2" borderId="38" xfId="28" applyFont="1" applyFill="1" applyBorder="1" applyAlignment="1">
      <alignment vertical="center"/>
      <protection/>
    </xf>
    <xf numFmtId="164" fontId="8" fillId="2" borderId="39" xfId="28" applyFont="1" applyFill="1" applyBorder="1" applyAlignment="1">
      <alignment vertical="center"/>
      <protection/>
    </xf>
    <xf numFmtId="167" fontId="33" fillId="2" borderId="36" xfId="28" applyNumberFormat="1" applyFont="1" applyFill="1" applyBorder="1" applyAlignment="1">
      <alignment vertical="center" wrapText="1"/>
      <protection/>
    </xf>
    <xf numFmtId="164" fontId="8" fillId="0" borderId="34" xfId="28" applyFont="1" applyFill="1" applyBorder="1" applyAlignment="1">
      <alignment vertical="center"/>
      <protection/>
    </xf>
    <xf numFmtId="164" fontId="8" fillId="0" borderId="35" xfId="28" applyFont="1" applyFill="1" applyBorder="1" applyAlignment="1">
      <alignment vertical="center"/>
      <protection/>
    </xf>
    <xf numFmtId="164" fontId="8" fillId="7" borderId="38" xfId="28" applyFont="1" applyFill="1" applyBorder="1" applyAlignment="1">
      <alignment vertical="center"/>
      <protection/>
    </xf>
    <xf numFmtId="164" fontId="8" fillId="7" borderId="35" xfId="28" applyFont="1" applyFill="1" applyBorder="1" applyAlignment="1">
      <alignment vertical="center"/>
      <protection/>
    </xf>
    <xf numFmtId="164" fontId="8" fillId="2" borderId="37" xfId="28" applyFont="1" applyFill="1" applyBorder="1" applyAlignment="1">
      <alignment vertical="center"/>
      <protection/>
    </xf>
    <xf numFmtId="164" fontId="8" fillId="7" borderId="39" xfId="28" applyFont="1" applyFill="1" applyBorder="1" applyAlignment="1">
      <alignment vertical="center"/>
      <protection/>
    </xf>
    <xf numFmtId="165" fontId="33" fillId="2" borderId="40" xfId="28" applyNumberFormat="1" applyFont="1" applyFill="1" applyBorder="1" applyAlignment="1">
      <alignment horizontal="center" vertical="center"/>
      <protection/>
    </xf>
    <xf numFmtId="167" fontId="33" fillId="2" borderId="41" xfId="28" applyNumberFormat="1" applyFont="1" applyFill="1" applyBorder="1" applyAlignment="1">
      <alignment vertical="center" wrapText="1"/>
      <protection/>
    </xf>
    <xf numFmtId="164" fontId="8" fillId="2" borderId="40" xfId="28" applyFont="1" applyFill="1" applyBorder="1" applyAlignment="1">
      <alignment vertical="center"/>
      <protection/>
    </xf>
    <xf numFmtId="164" fontId="8" fillId="2" borderId="42" xfId="28" applyFont="1" applyFill="1" applyBorder="1" applyAlignment="1">
      <alignment vertical="center"/>
      <protection/>
    </xf>
    <xf numFmtId="164" fontId="8" fillId="2" borderId="10" xfId="28" applyFont="1" applyFill="1" applyBorder="1" applyAlignment="1">
      <alignment vertical="center"/>
      <protection/>
    </xf>
    <xf numFmtId="164" fontId="8" fillId="2" borderId="41" xfId="28" applyFont="1" applyFill="1" applyBorder="1" applyAlignment="1">
      <alignment vertical="center"/>
      <protection/>
    </xf>
    <xf numFmtId="164" fontId="0" fillId="0" borderId="0" xfId="0" applyAlignment="1" applyProtection="1">
      <alignment vertical="top"/>
      <protection locked="0"/>
    </xf>
    <xf numFmtId="165" fontId="42" fillId="2" borderId="0" xfId="28" applyNumberFormat="1" applyFont="1" applyFill="1" applyBorder="1" applyAlignment="1">
      <alignment horizontal="center" vertical="center"/>
      <protection/>
    </xf>
    <xf numFmtId="165" fontId="11" fillId="3" borderId="13" xfId="28" applyNumberFormat="1" applyFont="1" applyFill="1" applyBorder="1" applyAlignment="1">
      <alignment horizontal="center" vertical="center"/>
      <protection/>
    </xf>
    <xf numFmtId="165" fontId="11" fillId="8" borderId="16" xfId="28" applyNumberFormat="1" applyFont="1" applyFill="1" applyBorder="1" applyAlignment="1">
      <alignment horizontal="center" vertical="center" wrapText="1"/>
      <protection/>
    </xf>
    <xf numFmtId="165" fontId="11" fillId="8" borderId="25" xfId="28" applyNumberFormat="1" applyFont="1" applyFill="1" applyBorder="1" applyAlignment="1">
      <alignment horizontal="center" vertical="center" wrapText="1"/>
      <protection/>
    </xf>
    <xf numFmtId="177" fontId="11" fillId="3" borderId="43" xfId="28" applyNumberFormat="1" applyFont="1" applyFill="1" applyBorder="1" applyAlignment="1">
      <alignment horizontal="center" vertical="center"/>
      <protection/>
    </xf>
    <xf numFmtId="177" fontId="11" fillId="8" borderId="44" xfId="28" applyNumberFormat="1" applyFont="1" applyFill="1" applyBorder="1" applyAlignment="1">
      <alignment horizontal="center" vertical="center"/>
      <protection/>
    </xf>
    <xf numFmtId="178" fontId="11" fillId="3" borderId="45" xfId="28" applyNumberFormat="1" applyFont="1" applyFill="1" applyBorder="1" applyAlignment="1">
      <alignment horizontal="center" vertical="center" wrapText="1"/>
      <protection/>
    </xf>
    <xf numFmtId="178" fontId="11" fillId="3" borderId="46" xfId="28" applyNumberFormat="1" applyFont="1" applyFill="1" applyBorder="1" applyAlignment="1">
      <alignment horizontal="center" vertical="center" wrapText="1"/>
      <protection/>
    </xf>
    <xf numFmtId="178" fontId="11" fillId="8" borderId="47" xfId="28" applyNumberFormat="1" applyFont="1" applyFill="1" applyBorder="1" applyAlignment="1">
      <alignment horizontal="center" vertical="center" wrapText="1"/>
      <protection/>
    </xf>
    <xf numFmtId="178" fontId="11" fillId="8" borderId="48" xfId="28" applyNumberFormat="1" applyFont="1" applyFill="1" applyBorder="1" applyAlignment="1">
      <alignment horizontal="center" vertical="center" wrapText="1"/>
      <protection/>
    </xf>
    <xf numFmtId="165" fontId="11" fillId="3" borderId="49" xfId="28" applyNumberFormat="1" applyFont="1" applyFill="1" applyBorder="1" applyAlignment="1">
      <alignment horizontal="center" vertical="center"/>
      <protection/>
    </xf>
    <xf numFmtId="166" fontId="10" fillId="2" borderId="50" xfId="28" applyNumberFormat="1" applyFont="1" applyFill="1" applyBorder="1" applyAlignment="1">
      <alignment horizontal="center" vertical="center"/>
      <protection/>
    </xf>
    <xf numFmtId="166" fontId="10" fillId="2" borderId="51" xfId="28" applyNumberFormat="1" applyFont="1" applyFill="1" applyBorder="1" applyAlignment="1">
      <alignment horizontal="center" vertical="center"/>
      <protection/>
    </xf>
    <xf numFmtId="177" fontId="10" fillId="0" borderId="52" xfId="23" applyNumberFormat="1" applyFont="1" applyBorder="1" applyAlignment="1">
      <alignment horizontal="center" vertical="center"/>
      <protection/>
    </xf>
    <xf numFmtId="177" fontId="10" fillId="0" borderId="53" xfId="23" applyNumberFormat="1" applyFont="1" applyBorder="1" applyAlignment="1">
      <alignment horizontal="center" vertical="center"/>
      <protection/>
    </xf>
    <xf numFmtId="165" fontId="11" fillId="3" borderId="54" xfId="28" applyNumberFormat="1" applyFont="1" applyFill="1" applyBorder="1" applyAlignment="1">
      <alignment horizontal="center" vertical="center"/>
      <protection/>
    </xf>
    <xf numFmtId="166" fontId="10" fillId="2" borderId="55" xfId="28" applyNumberFormat="1" applyFont="1" applyFill="1" applyBorder="1" applyAlignment="1">
      <alignment horizontal="center" vertical="center"/>
      <protection/>
    </xf>
    <xf numFmtId="166" fontId="10" fillId="2" borderId="56" xfId="28" applyNumberFormat="1" applyFont="1" applyFill="1" applyBorder="1" applyAlignment="1">
      <alignment horizontal="center" vertical="center"/>
      <protection/>
    </xf>
    <xf numFmtId="177" fontId="10" fillId="0" borderId="57" xfId="23" applyNumberFormat="1" applyFont="1" applyBorder="1" applyAlignment="1">
      <alignment horizontal="center" vertical="center"/>
      <protection/>
    </xf>
    <xf numFmtId="177" fontId="10" fillId="2" borderId="58" xfId="28" applyNumberFormat="1" applyFont="1" applyFill="1" applyBorder="1" applyAlignment="1">
      <alignment horizontal="center" vertical="center"/>
      <protection/>
    </xf>
    <xf numFmtId="177" fontId="10" fillId="0" borderId="58" xfId="23" applyNumberFormat="1" applyFont="1" applyBorder="1" applyAlignment="1">
      <alignment horizontal="center" vertical="center"/>
      <protection/>
    </xf>
    <xf numFmtId="165" fontId="11" fillId="3" borderId="59" xfId="28" applyNumberFormat="1" applyFont="1" applyFill="1" applyBorder="1" applyAlignment="1">
      <alignment horizontal="center" vertical="center"/>
      <protection/>
    </xf>
    <xf numFmtId="166" fontId="10" fillId="2" borderId="60" xfId="28" applyNumberFormat="1" applyFont="1" applyFill="1" applyBorder="1" applyAlignment="1">
      <alignment horizontal="center" vertical="center"/>
      <protection/>
    </xf>
    <xf numFmtId="166" fontId="10" fillId="2" borderId="61" xfId="28" applyNumberFormat="1" applyFont="1" applyFill="1" applyBorder="1" applyAlignment="1">
      <alignment horizontal="center" vertical="center"/>
      <protection/>
    </xf>
    <xf numFmtId="165" fontId="11" fillId="2" borderId="0" xfId="28" applyNumberFormat="1" applyFont="1" applyFill="1" applyBorder="1" applyAlignment="1">
      <alignment horizontal="center" vertical="center"/>
      <protection/>
    </xf>
    <xf numFmtId="179" fontId="11" fillId="2" borderId="13" xfId="28" applyNumberFormat="1" applyFont="1" applyFill="1" applyBorder="1" applyAlignment="1">
      <alignment horizontal="center" vertical="center"/>
      <protection/>
    </xf>
    <xf numFmtId="177" fontId="11" fillId="2" borderId="0" xfId="28" applyNumberFormat="1" applyFont="1" applyFill="1" applyBorder="1" applyAlignment="1">
      <alignment horizontal="center" vertical="center"/>
      <protection/>
    </xf>
    <xf numFmtId="167" fontId="0" fillId="2" borderId="0" xfId="0" applyNumberFormat="1" applyFill="1" applyBorder="1" applyAlignment="1" applyProtection="1">
      <alignment horizontal="center" vertical="center"/>
      <protection locked="0"/>
    </xf>
    <xf numFmtId="177" fontId="0" fillId="2" borderId="0" xfId="0" applyNumberFormat="1" applyFill="1" applyAlignment="1" applyProtection="1">
      <alignment vertical="top"/>
      <protection locked="0"/>
    </xf>
    <xf numFmtId="164" fontId="7" fillId="2" borderId="0" xfId="0" applyFont="1" applyFill="1" applyAlignment="1" applyProtection="1">
      <alignment vertical="top"/>
      <protection locked="0"/>
    </xf>
    <xf numFmtId="164" fontId="6" fillId="2" borderId="0" xfId="0" applyFont="1" applyFill="1" applyAlignment="1">
      <alignment horizontal="center" vertical="center" wrapText="1"/>
    </xf>
    <xf numFmtId="164" fontId="42" fillId="2" borderId="1" xfId="0" applyFont="1" applyFill="1" applyBorder="1" applyAlignment="1">
      <alignment horizontal="center" vertical="center" wrapText="1"/>
    </xf>
    <xf numFmtId="164" fontId="46" fillId="2" borderId="0" xfId="0" applyFont="1" applyFill="1" applyAlignment="1">
      <alignment/>
    </xf>
    <xf numFmtId="164" fontId="47" fillId="2" borderId="0" xfId="0" applyFont="1" applyFill="1" applyAlignment="1">
      <alignment/>
    </xf>
    <xf numFmtId="164" fontId="48" fillId="0" borderId="29" xfId="0" applyFont="1" applyBorder="1" applyAlignment="1">
      <alignment horizontal="center" vertical="center" wrapText="1"/>
    </xf>
    <xf numFmtId="164" fontId="28" fillId="0" borderId="29" xfId="0" applyFont="1" applyBorder="1" applyAlignment="1">
      <alignment horizontal="center" vertical="center" wrapText="1"/>
    </xf>
    <xf numFmtId="164" fontId="49" fillId="2" borderId="0" xfId="0" applyFont="1" applyFill="1" applyAlignment="1">
      <alignment/>
    </xf>
    <xf numFmtId="164" fontId="49" fillId="0" borderId="0" xfId="0" applyFont="1" applyAlignment="1">
      <alignment/>
    </xf>
    <xf numFmtId="164" fontId="22" fillId="0" borderId="29" xfId="0" applyFont="1" applyBorder="1" applyAlignment="1">
      <alignment horizontal="center" vertical="center" wrapText="1"/>
    </xf>
    <xf numFmtId="164" fontId="29" fillId="0" borderId="29" xfId="0" applyFont="1" applyBorder="1" applyAlignment="1">
      <alignment horizontal="center" vertical="center" wrapText="1"/>
    </xf>
    <xf numFmtId="177" fontId="48" fillId="0" borderId="29" xfId="0" applyNumberFormat="1" applyFont="1" applyBorder="1" applyAlignment="1">
      <alignment horizontal="center" vertical="center" wrapText="1"/>
    </xf>
    <xf numFmtId="177" fontId="28" fillId="0" borderId="29" xfId="0" applyNumberFormat="1" applyFont="1" applyBorder="1" applyAlignment="1">
      <alignment horizontal="center" vertical="center" wrapText="1"/>
    </xf>
    <xf numFmtId="177" fontId="49" fillId="2" borderId="0" xfId="0" applyNumberFormat="1" applyFont="1" applyFill="1" applyAlignment="1">
      <alignment/>
    </xf>
    <xf numFmtId="180" fontId="48" fillId="3" borderId="29" xfId="0" applyNumberFormat="1" applyFont="1" applyFill="1" applyBorder="1" applyAlignment="1">
      <alignment horizontal="center" vertical="center" wrapText="1"/>
    </xf>
    <xf numFmtId="180" fontId="28" fillId="3" borderId="29" xfId="0" applyNumberFormat="1" applyFont="1" applyFill="1" applyBorder="1" applyAlignment="1">
      <alignment horizontal="center" vertical="center" wrapText="1"/>
    </xf>
    <xf numFmtId="177" fontId="23" fillId="2" borderId="0" xfId="0" applyNumberFormat="1" applyFont="1" applyFill="1" applyAlignment="1">
      <alignment/>
    </xf>
  </cellXfs>
  <cellStyles count="16">
    <cellStyle name="Normal" xfId="0"/>
    <cellStyle name="Comma" xfId="15"/>
    <cellStyle name="Comma [0]" xfId="16"/>
    <cellStyle name="Currency" xfId="17"/>
    <cellStyle name="Currency [0]" xfId="18"/>
    <cellStyle name="Percent" xfId="19"/>
    <cellStyle name="Moeda_Orçat" xfId="20"/>
    <cellStyle name="Normal 2" xfId="21"/>
    <cellStyle name="Normal 3" xfId="22"/>
    <cellStyle name="Normal 5" xfId="23"/>
    <cellStyle name="Normal 5 2" xfId="24"/>
    <cellStyle name="Normal 5 3" xfId="25"/>
    <cellStyle name="Normal_EMOP - Tabela Atualizada" xfId="26"/>
    <cellStyle name="Normal_Orçat" xfId="27"/>
    <cellStyle name="Normal_Planilha - Rede Coletrora 44 Casas" xfId="28"/>
    <cellStyle name="Separador de milhares_Orça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85725</xdr:rowOff>
    </xdr:from>
    <xdr:to>
      <xdr:col>1</xdr:col>
      <xdr:colOff>485775</xdr:colOff>
      <xdr:row>7</xdr:row>
      <xdr:rowOff>19050</xdr:rowOff>
    </xdr:to>
    <xdr:pic>
      <xdr:nvPicPr>
        <xdr:cNvPr id="1" name="Picture 1"/>
        <xdr:cNvPicPr preferRelativeResize="1">
          <a:picLocks noChangeAspect="1"/>
        </xdr:cNvPicPr>
      </xdr:nvPicPr>
      <xdr:blipFill>
        <a:blip r:embed="rId1"/>
        <a:stretch>
          <a:fillRect/>
        </a:stretch>
      </xdr:blipFill>
      <xdr:spPr>
        <a:xfrm>
          <a:off x="104775" y="409575"/>
          <a:ext cx="762000" cy="657225"/>
        </a:xfrm>
        <a:prstGeom prst="rect">
          <a:avLst/>
        </a:prstGeom>
        <a:blipFill>
          <a:blip r:embed=""/>
          <a:srcRect/>
          <a:stretch>
            <a:fillRect/>
          </a:stretch>
        </a:blipFill>
        <a:ln w="9525" cmpd="sng">
          <a:noFill/>
        </a:ln>
      </xdr:spPr>
    </xdr:pic>
    <xdr:clientData/>
  </xdr:twoCellAnchor>
  <xdr:twoCellAnchor>
    <xdr:from>
      <xdr:col>1</xdr:col>
      <xdr:colOff>485775</xdr:colOff>
      <xdr:row>2</xdr:row>
      <xdr:rowOff>104775</xdr:rowOff>
    </xdr:from>
    <xdr:to>
      <xdr:col>5</xdr:col>
      <xdr:colOff>28575</xdr:colOff>
      <xdr:row>6</xdr:row>
      <xdr:rowOff>19050</xdr:rowOff>
    </xdr:to>
    <xdr:pic>
      <xdr:nvPicPr>
        <xdr:cNvPr id="2" name="Picture 2"/>
        <xdr:cNvPicPr preferRelativeResize="1">
          <a:picLocks noChangeAspect="1"/>
        </xdr:cNvPicPr>
      </xdr:nvPicPr>
      <xdr:blipFill>
        <a:blip r:embed="rId2"/>
        <a:stretch>
          <a:fillRect/>
        </a:stretch>
      </xdr:blipFill>
      <xdr:spPr>
        <a:xfrm>
          <a:off x="866775" y="428625"/>
          <a:ext cx="3400425" cy="447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19050</xdr:rowOff>
    </xdr:from>
    <xdr:to>
      <xdr:col>2</xdr:col>
      <xdr:colOff>323850</xdr:colOff>
      <xdr:row>7</xdr:row>
      <xdr:rowOff>47625</xdr:rowOff>
    </xdr:to>
    <xdr:pic>
      <xdr:nvPicPr>
        <xdr:cNvPr id="1" name="Picture 1"/>
        <xdr:cNvPicPr preferRelativeResize="1">
          <a:picLocks noChangeAspect="1"/>
        </xdr:cNvPicPr>
      </xdr:nvPicPr>
      <xdr:blipFill>
        <a:blip r:embed="rId1"/>
        <a:stretch>
          <a:fillRect/>
        </a:stretch>
      </xdr:blipFill>
      <xdr:spPr>
        <a:xfrm>
          <a:off x="304800" y="342900"/>
          <a:ext cx="723900" cy="752475"/>
        </a:xfrm>
        <a:prstGeom prst="rect">
          <a:avLst/>
        </a:prstGeom>
        <a:blipFill>
          <a:blip r:embed=""/>
          <a:srcRect/>
          <a:stretch>
            <a:fillRect/>
          </a:stretch>
        </a:blipFill>
        <a:ln w="9525" cmpd="sng">
          <a:noFill/>
        </a:ln>
      </xdr:spPr>
    </xdr:pic>
    <xdr:clientData/>
  </xdr:twoCellAnchor>
  <xdr:twoCellAnchor>
    <xdr:from>
      <xdr:col>2</xdr:col>
      <xdr:colOff>581025</xdr:colOff>
      <xdr:row>2</xdr:row>
      <xdr:rowOff>76200</xdr:rowOff>
    </xdr:from>
    <xdr:to>
      <xdr:col>6</xdr:col>
      <xdr:colOff>85725</xdr:colOff>
      <xdr:row>6</xdr:row>
      <xdr:rowOff>85725</xdr:rowOff>
    </xdr:to>
    <xdr:pic>
      <xdr:nvPicPr>
        <xdr:cNvPr id="2" name="Picture 2"/>
        <xdr:cNvPicPr preferRelativeResize="1">
          <a:picLocks noChangeAspect="1"/>
        </xdr:cNvPicPr>
      </xdr:nvPicPr>
      <xdr:blipFill>
        <a:blip r:embed="rId2"/>
        <a:stretch>
          <a:fillRect/>
        </a:stretch>
      </xdr:blipFill>
      <xdr:spPr>
        <a:xfrm>
          <a:off x="1285875" y="400050"/>
          <a:ext cx="329565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T97"/>
  <sheetViews>
    <sheetView workbookViewId="0" topLeftCell="A28">
      <selection activeCell="L28" sqref="L28"/>
    </sheetView>
  </sheetViews>
  <sheetFormatPr defaultColWidth="9.140625" defaultRowHeight="12.75"/>
  <cols>
    <col min="1" max="1" width="5.7109375" style="1" customWidth="1"/>
    <col min="2" max="2" width="10.7109375" style="1" customWidth="1"/>
    <col min="3" max="7" width="15.7109375" style="1" customWidth="1"/>
    <col min="8" max="8" width="8.7109375" style="2" customWidth="1"/>
    <col min="9" max="10" width="10.7109375" style="1" customWidth="1"/>
    <col min="11" max="11" width="12.7109375" style="1" customWidth="1"/>
    <col min="12" max="12" width="1.7109375" style="3" hidden="1" customWidth="1"/>
    <col min="13" max="13" width="18.7109375" style="4" hidden="1" customWidth="1"/>
    <col min="14" max="16384" width="9.140625" style="5" customWidth="1"/>
  </cols>
  <sheetData>
    <row r="1" spans="1:13" s="7" customFormat="1" ht="12.75" customHeight="1">
      <c r="A1" s="6" t="s">
        <v>0</v>
      </c>
      <c r="B1" s="6"/>
      <c r="C1" s="6"/>
      <c r="D1" s="6"/>
      <c r="E1" s="6"/>
      <c r="F1" s="6"/>
      <c r="G1" s="6"/>
      <c r="H1" s="6"/>
      <c r="I1" s="6"/>
      <c r="J1" s="6"/>
      <c r="K1" s="6"/>
      <c r="L1" s="6"/>
      <c r="M1" s="6"/>
    </row>
    <row r="2" spans="1:13" s="8" customFormat="1" ht="12.75" customHeight="1">
      <c r="A2" s="6"/>
      <c r="B2" s="6"/>
      <c r="C2" s="6"/>
      <c r="D2" s="6"/>
      <c r="E2" s="6"/>
      <c r="F2" s="6"/>
      <c r="G2" s="6"/>
      <c r="H2" s="6"/>
      <c r="I2" s="6"/>
      <c r="J2" s="6"/>
      <c r="K2" s="6"/>
      <c r="L2" s="6"/>
      <c r="M2" s="6"/>
    </row>
    <row r="3" spans="1:13" s="14" customFormat="1" ht="10.5" customHeight="1">
      <c r="A3" s="9"/>
      <c r="B3" s="10"/>
      <c r="C3" s="11"/>
      <c r="D3" s="11"/>
      <c r="E3" s="12"/>
      <c r="F3" s="12"/>
      <c r="G3" s="12"/>
      <c r="H3" s="13"/>
      <c r="J3" s="15"/>
      <c r="K3" s="15"/>
      <c r="L3" s="16"/>
      <c r="M3" s="16"/>
    </row>
    <row r="4" spans="1:11" s="16" customFormat="1" ht="10.5" customHeight="1">
      <c r="A4" s="9"/>
      <c r="B4" s="10"/>
      <c r="C4" s="11"/>
      <c r="D4" s="11"/>
      <c r="J4" s="15"/>
      <c r="K4" s="15"/>
    </row>
    <row r="5" spans="1:11" s="16" customFormat="1" ht="10.5" customHeight="1">
      <c r="A5" s="9"/>
      <c r="B5" s="10"/>
      <c r="C5" s="11"/>
      <c r="D5" s="11"/>
      <c r="E5" s="12"/>
      <c r="F5" s="12"/>
      <c r="G5" s="12"/>
      <c r="H5" s="13"/>
      <c r="J5" s="15"/>
      <c r="K5" s="15"/>
    </row>
    <row r="6" spans="1:11" s="16" customFormat="1" ht="10.5" customHeight="1">
      <c r="A6" s="9"/>
      <c r="B6" s="10"/>
      <c r="C6" s="11"/>
      <c r="D6" s="11"/>
      <c r="E6" s="12"/>
      <c r="F6" s="12"/>
      <c r="G6" s="12"/>
      <c r="H6" s="13"/>
      <c r="J6" s="15"/>
      <c r="K6" s="15"/>
    </row>
    <row r="7" spans="3:11" s="17" customFormat="1" ht="15" customHeight="1">
      <c r="C7" s="11"/>
      <c r="D7" s="11"/>
      <c r="F7" s="18"/>
      <c r="G7" s="18"/>
      <c r="H7" s="18"/>
      <c r="J7" s="19"/>
      <c r="K7" s="19"/>
    </row>
    <row r="8" spans="1:13" s="17" customFormat="1" ht="9.75" customHeight="1">
      <c r="A8" s="20" t="s">
        <v>1</v>
      </c>
      <c r="B8" s="20"/>
      <c r="C8" s="20"/>
      <c r="D8" s="20"/>
      <c r="E8" s="20"/>
      <c r="F8" s="20"/>
      <c r="G8" s="20"/>
      <c r="H8" s="20"/>
      <c r="I8" s="20"/>
      <c r="J8" s="20"/>
      <c r="K8" s="20"/>
      <c r="L8" s="20"/>
      <c r="M8" s="20"/>
    </row>
    <row r="9" spans="1:13" s="17" customFormat="1" ht="9.75" customHeight="1">
      <c r="A9" s="20"/>
      <c r="B9" s="20"/>
      <c r="C9" s="20"/>
      <c r="D9" s="20"/>
      <c r="E9" s="20"/>
      <c r="F9" s="20"/>
      <c r="G9" s="20"/>
      <c r="H9" s="20"/>
      <c r="I9" s="20"/>
      <c r="J9" s="20"/>
      <c r="K9" s="20"/>
      <c r="L9" s="20"/>
      <c r="M9" s="20"/>
    </row>
    <row r="10" spans="8:13" s="21" customFormat="1" ht="15" customHeight="1">
      <c r="H10" s="22"/>
      <c r="I10" s="23" t="s">
        <v>2</v>
      </c>
      <c r="J10" s="23"/>
      <c r="K10" s="23"/>
      <c r="M10" s="24"/>
    </row>
    <row r="11" spans="1:13" s="27" customFormat="1" ht="19.5" customHeight="1">
      <c r="A11" s="25" t="s">
        <v>3</v>
      </c>
      <c r="B11" s="25" t="s">
        <v>4</v>
      </c>
      <c r="C11" s="25" t="s">
        <v>5</v>
      </c>
      <c r="D11" s="26"/>
      <c r="E11" s="26"/>
      <c r="F11" s="26"/>
      <c r="G11" s="26"/>
      <c r="H11" s="25" t="s">
        <v>6</v>
      </c>
      <c r="I11" s="25" t="s">
        <v>7</v>
      </c>
      <c r="J11" s="25" t="s">
        <v>8</v>
      </c>
      <c r="K11" s="25" t="s">
        <v>9</v>
      </c>
      <c r="M11" s="28"/>
    </row>
    <row r="12" spans="1:17" s="36" customFormat="1" ht="30" customHeight="1">
      <c r="A12" s="29" t="s">
        <v>10</v>
      </c>
      <c r="B12" s="30"/>
      <c r="C12" s="31" t="s">
        <v>11</v>
      </c>
      <c r="D12" s="31"/>
      <c r="E12" s="31"/>
      <c r="F12" s="31"/>
      <c r="G12" s="31"/>
      <c r="H12" s="32"/>
      <c r="I12" s="32"/>
      <c r="J12" s="32"/>
      <c r="K12" s="33">
        <f>SUM(K13:K27)</f>
        <v>39498.62999999999</v>
      </c>
      <c r="L12" s="27"/>
      <c r="M12" s="34" t="s">
        <v>12</v>
      </c>
      <c r="N12" s="35"/>
      <c r="O12" s="35"/>
      <c r="P12" s="35"/>
      <c r="Q12" s="35"/>
    </row>
    <row r="13" spans="1:13" s="43" customFormat="1" ht="30" customHeight="1">
      <c r="A13" s="37" t="s">
        <v>13</v>
      </c>
      <c r="B13" s="38" t="s">
        <v>14</v>
      </c>
      <c r="C13" s="39" t="s">
        <v>15</v>
      </c>
      <c r="D13" s="39" t="s">
        <v>16</v>
      </c>
      <c r="E13" s="39" t="s">
        <v>16</v>
      </c>
      <c r="F13" s="39" t="s">
        <v>16</v>
      </c>
      <c r="G13" s="39" t="s">
        <v>16</v>
      </c>
      <c r="H13" s="37" t="s">
        <v>17</v>
      </c>
      <c r="I13" s="40">
        <v>2</v>
      </c>
      <c r="J13" s="41">
        <v>180.82</v>
      </c>
      <c r="K13" s="41">
        <f aca="true" t="shared" si="0" ref="K13:K27">ROUND(I13*J13,2)</f>
        <v>361.64</v>
      </c>
      <c r="L13" s="27"/>
      <c r="M13" s="42" t="s">
        <v>18</v>
      </c>
    </row>
    <row r="14" spans="1:13" s="43" customFormat="1" ht="45" customHeight="1">
      <c r="A14" s="44" t="s">
        <v>19</v>
      </c>
      <c r="B14" s="45" t="s">
        <v>20</v>
      </c>
      <c r="C14" s="46" t="s">
        <v>21</v>
      </c>
      <c r="D14" s="46" t="s">
        <v>22</v>
      </c>
      <c r="E14" s="46" t="s">
        <v>22</v>
      </c>
      <c r="F14" s="46" t="s">
        <v>22</v>
      </c>
      <c r="G14" s="46" t="s">
        <v>22</v>
      </c>
      <c r="H14" s="44" t="s">
        <v>17</v>
      </c>
      <c r="I14" s="47">
        <f>ROUND(139*2,2)</f>
        <v>278</v>
      </c>
      <c r="J14" s="48">
        <v>19.41</v>
      </c>
      <c r="K14" s="48">
        <f t="shared" si="0"/>
        <v>5395.98</v>
      </c>
      <c r="L14" s="27"/>
      <c r="M14" s="49" t="s">
        <v>23</v>
      </c>
    </row>
    <row r="15" spans="1:13" s="43" customFormat="1" ht="30" customHeight="1">
      <c r="A15" s="44" t="s">
        <v>24</v>
      </c>
      <c r="B15" s="45" t="s">
        <v>25</v>
      </c>
      <c r="C15" s="46" t="s">
        <v>26</v>
      </c>
      <c r="D15" s="46" t="s">
        <v>22</v>
      </c>
      <c r="E15" s="46" t="s">
        <v>22</v>
      </c>
      <c r="F15" s="46" t="s">
        <v>22</v>
      </c>
      <c r="G15" s="46" t="s">
        <v>22</v>
      </c>
      <c r="H15" s="44" t="s">
        <v>17</v>
      </c>
      <c r="I15" s="47">
        <v>20</v>
      </c>
      <c r="J15" s="48">
        <v>373.4</v>
      </c>
      <c r="K15" s="48">
        <f t="shared" si="0"/>
        <v>7468</v>
      </c>
      <c r="L15" s="27"/>
      <c r="M15" s="49" t="s">
        <v>27</v>
      </c>
    </row>
    <row r="16" spans="1:14" s="43" customFormat="1" ht="15" customHeight="1">
      <c r="A16" s="44" t="s">
        <v>28</v>
      </c>
      <c r="B16" s="45" t="s">
        <v>29</v>
      </c>
      <c r="C16" s="46" t="s">
        <v>30</v>
      </c>
      <c r="D16" s="46" t="s">
        <v>31</v>
      </c>
      <c r="E16" s="46" t="s">
        <v>31</v>
      </c>
      <c r="F16" s="46" t="s">
        <v>31</v>
      </c>
      <c r="G16" s="46" t="s">
        <v>31</v>
      </c>
      <c r="H16" s="44" t="s">
        <v>32</v>
      </c>
      <c r="I16" s="47">
        <v>2</v>
      </c>
      <c r="J16" s="48">
        <v>2659.36</v>
      </c>
      <c r="K16" s="48">
        <f t="shared" si="0"/>
        <v>5318.72</v>
      </c>
      <c r="L16" s="27"/>
      <c r="M16" s="49" t="s">
        <v>33</v>
      </c>
      <c r="N16" s="50"/>
    </row>
    <row r="17" spans="1:14" s="43" customFormat="1" ht="15" customHeight="1">
      <c r="A17" s="44" t="s">
        <v>34</v>
      </c>
      <c r="B17" s="45" t="s">
        <v>35</v>
      </c>
      <c r="C17" s="46" t="s">
        <v>36</v>
      </c>
      <c r="D17" s="46" t="s">
        <v>31</v>
      </c>
      <c r="E17" s="46" t="s">
        <v>31</v>
      </c>
      <c r="F17" s="46" t="s">
        <v>31</v>
      </c>
      <c r="G17" s="46" t="s">
        <v>31</v>
      </c>
      <c r="H17" s="44" t="s">
        <v>32</v>
      </c>
      <c r="I17" s="47">
        <v>2</v>
      </c>
      <c r="J17" s="48">
        <v>5804.48</v>
      </c>
      <c r="K17" s="48">
        <f t="shared" si="0"/>
        <v>11608.96</v>
      </c>
      <c r="L17" s="27"/>
      <c r="M17" s="49" t="s">
        <v>33</v>
      </c>
      <c r="N17" s="50"/>
    </row>
    <row r="18" spans="1:13" s="43" customFormat="1" ht="15" customHeight="1">
      <c r="A18" s="51" t="s">
        <v>37</v>
      </c>
      <c r="B18" s="45" t="s">
        <v>38</v>
      </c>
      <c r="C18" s="46" t="s">
        <v>39</v>
      </c>
      <c r="D18" s="46"/>
      <c r="E18" s="46"/>
      <c r="F18" s="46"/>
      <c r="G18" s="46"/>
      <c r="H18" s="44" t="s">
        <v>40</v>
      </c>
      <c r="I18" s="47">
        <v>28.92</v>
      </c>
      <c r="J18" s="48">
        <v>27.99</v>
      </c>
      <c r="K18" s="48">
        <f t="shared" si="0"/>
        <v>809.47</v>
      </c>
      <c r="L18" s="27"/>
      <c r="M18" s="49" t="s">
        <v>41</v>
      </c>
    </row>
    <row r="19" spans="1:13" s="43" customFormat="1" ht="60" customHeight="1">
      <c r="A19" s="51" t="s">
        <v>42</v>
      </c>
      <c r="B19" s="45" t="s">
        <v>43</v>
      </c>
      <c r="C19" s="46" t="s">
        <v>44</v>
      </c>
      <c r="D19" s="46"/>
      <c r="E19" s="46"/>
      <c r="F19" s="46"/>
      <c r="G19" s="46"/>
      <c r="H19" s="44" t="s">
        <v>45</v>
      </c>
      <c r="I19" s="47">
        <f aca="true" t="shared" si="1" ref="I19:I20">ROUND(39.4*4*2,2)</f>
        <v>315.2</v>
      </c>
      <c r="J19" s="48">
        <v>12</v>
      </c>
      <c r="K19" s="48">
        <f t="shared" si="0"/>
        <v>3782.4</v>
      </c>
      <c r="L19" s="27"/>
      <c r="M19" s="49" t="s">
        <v>46</v>
      </c>
    </row>
    <row r="20" spans="1:13" s="43" customFormat="1" ht="30" customHeight="1">
      <c r="A20" s="51" t="s">
        <v>47</v>
      </c>
      <c r="B20" s="45" t="s">
        <v>48</v>
      </c>
      <c r="C20" s="46" t="s">
        <v>49</v>
      </c>
      <c r="D20" s="46"/>
      <c r="E20" s="46"/>
      <c r="F20" s="46"/>
      <c r="G20" s="46"/>
      <c r="H20" s="44" t="s">
        <v>17</v>
      </c>
      <c r="I20" s="47">
        <f t="shared" si="1"/>
        <v>315.2</v>
      </c>
      <c r="J20" s="48">
        <v>5.9</v>
      </c>
      <c r="K20" s="48">
        <f t="shared" si="0"/>
        <v>1859.68</v>
      </c>
      <c r="L20" s="27"/>
      <c r="M20" s="49" t="s">
        <v>50</v>
      </c>
    </row>
    <row r="21" spans="1:13" s="54" customFormat="1" ht="30" customHeight="1">
      <c r="A21" s="51" t="s">
        <v>51</v>
      </c>
      <c r="B21" s="45" t="s">
        <v>52</v>
      </c>
      <c r="C21" s="46" t="s">
        <v>53</v>
      </c>
      <c r="D21" s="46"/>
      <c r="E21" s="46"/>
      <c r="F21" s="46"/>
      <c r="G21" s="46"/>
      <c r="H21" s="51" t="s">
        <v>54</v>
      </c>
      <c r="I21" s="47">
        <f>ROUND(39.4*4*60,2)</f>
        <v>9456</v>
      </c>
      <c r="J21" s="52">
        <v>0.13</v>
      </c>
      <c r="K21" s="48">
        <f t="shared" si="0"/>
        <v>1229.28</v>
      </c>
      <c r="L21" s="53"/>
      <c r="M21" s="49" t="s">
        <v>55</v>
      </c>
    </row>
    <row r="22" spans="1:13" s="54" customFormat="1" ht="30" customHeight="1">
      <c r="A22" s="51" t="s">
        <v>56</v>
      </c>
      <c r="B22" s="45" t="s">
        <v>57</v>
      </c>
      <c r="C22" s="46" t="s">
        <v>58</v>
      </c>
      <c r="D22" s="46"/>
      <c r="E22" s="46"/>
      <c r="F22" s="46"/>
      <c r="G22" s="46"/>
      <c r="H22" s="51" t="s">
        <v>17</v>
      </c>
      <c r="I22" s="47">
        <f>ROUND(39.4*4,2)</f>
        <v>157.6</v>
      </c>
      <c r="J22" s="52">
        <v>0.67</v>
      </c>
      <c r="K22" s="48">
        <f t="shared" si="0"/>
        <v>105.59</v>
      </c>
      <c r="L22" s="53"/>
      <c r="M22" s="49" t="s">
        <v>59</v>
      </c>
    </row>
    <row r="23" spans="1:13" s="54" customFormat="1" ht="30" customHeight="1">
      <c r="A23" s="51" t="s">
        <v>60</v>
      </c>
      <c r="B23" s="55" t="s">
        <v>61</v>
      </c>
      <c r="C23" s="46" t="s">
        <v>62</v>
      </c>
      <c r="D23" s="46"/>
      <c r="E23" s="46"/>
      <c r="F23" s="46"/>
      <c r="G23" s="46"/>
      <c r="H23" s="51" t="s">
        <v>17</v>
      </c>
      <c r="I23" s="56">
        <f>ROUND(39.4*0.9,2)</f>
        <v>35.46</v>
      </c>
      <c r="J23" s="52">
        <v>0.98</v>
      </c>
      <c r="K23" s="48">
        <f t="shared" si="0"/>
        <v>34.75</v>
      </c>
      <c r="L23" s="53"/>
      <c r="M23" s="49" t="s">
        <v>63</v>
      </c>
    </row>
    <row r="24" spans="1:13" s="54" customFormat="1" ht="15" customHeight="1">
      <c r="A24" s="51" t="s">
        <v>64</v>
      </c>
      <c r="B24" s="45" t="s">
        <v>65</v>
      </c>
      <c r="C24" s="46" t="s">
        <v>66</v>
      </c>
      <c r="D24" s="46"/>
      <c r="E24" s="46"/>
      <c r="F24" s="46"/>
      <c r="G24" s="46"/>
      <c r="H24" s="51" t="s">
        <v>17</v>
      </c>
      <c r="I24" s="56">
        <f aca="true" t="shared" si="2" ref="I24:I25">ROUND(I29+I30,2)</f>
        <v>4.65</v>
      </c>
      <c r="J24" s="52">
        <v>7.38</v>
      </c>
      <c r="K24" s="48">
        <f t="shared" si="0"/>
        <v>34.32</v>
      </c>
      <c r="L24" s="53"/>
      <c r="M24" s="49" t="s">
        <v>67</v>
      </c>
    </row>
    <row r="25" spans="1:13" s="54" customFormat="1" ht="15" customHeight="1">
      <c r="A25" s="51" t="s">
        <v>68</v>
      </c>
      <c r="B25" s="45" t="s">
        <v>69</v>
      </c>
      <c r="C25" s="46" t="s">
        <v>70</v>
      </c>
      <c r="D25" s="46"/>
      <c r="E25" s="46"/>
      <c r="F25" s="46"/>
      <c r="G25" s="46"/>
      <c r="H25" s="51" t="s">
        <v>17</v>
      </c>
      <c r="I25" s="56">
        <f t="shared" si="2"/>
        <v>13.65</v>
      </c>
      <c r="J25" s="52">
        <v>22.15</v>
      </c>
      <c r="K25" s="48">
        <f t="shared" si="0"/>
        <v>302.35</v>
      </c>
      <c r="L25" s="53"/>
      <c r="M25" s="49" t="s">
        <v>71</v>
      </c>
    </row>
    <row r="26" spans="1:13" s="54" customFormat="1" ht="30" customHeight="1">
      <c r="A26" s="51" t="s">
        <v>72</v>
      </c>
      <c r="B26" s="45" t="s">
        <v>73</v>
      </c>
      <c r="C26" s="46" t="s">
        <v>74</v>
      </c>
      <c r="D26" s="46"/>
      <c r="E26" s="46"/>
      <c r="F26" s="46"/>
      <c r="G26" s="46"/>
      <c r="H26" s="51" t="s">
        <v>17</v>
      </c>
      <c r="I26" s="56">
        <f>ROUND((5.75*4)+(2.65*4.35)+(2.05*0.9)+(1.9*2.95)+(2.5*4.2)+(5*0.9),2)</f>
        <v>56.98</v>
      </c>
      <c r="J26" s="52">
        <v>4.43</v>
      </c>
      <c r="K26" s="48">
        <f t="shared" si="0"/>
        <v>252.42</v>
      </c>
      <c r="L26" s="53"/>
      <c r="M26" s="49" t="s">
        <v>75</v>
      </c>
    </row>
    <row r="27" spans="1:13" s="54" customFormat="1" ht="30" customHeight="1">
      <c r="A27" s="51" t="s">
        <v>72</v>
      </c>
      <c r="B27" s="45" t="s">
        <v>76</v>
      </c>
      <c r="C27" s="46" t="s">
        <v>77</v>
      </c>
      <c r="D27" s="46"/>
      <c r="E27" s="46"/>
      <c r="F27" s="46"/>
      <c r="G27" s="46"/>
      <c r="H27" s="51" t="s">
        <v>17</v>
      </c>
      <c r="I27" s="56">
        <f>ROUND((5.75*4)+(2.65*4.35)+(2.05*0.9),2)</f>
        <v>36.37</v>
      </c>
      <c r="J27" s="52">
        <v>25.71</v>
      </c>
      <c r="K27" s="48">
        <f t="shared" si="0"/>
        <v>935.07</v>
      </c>
      <c r="L27" s="53"/>
      <c r="M27" s="49" t="s">
        <v>78</v>
      </c>
    </row>
    <row r="28" spans="1:13" s="36" customFormat="1" ht="9.75" customHeight="1">
      <c r="A28" s="57"/>
      <c r="B28" s="57"/>
      <c r="C28" s="58"/>
      <c r="D28" s="59"/>
      <c r="E28" s="59"/>
      <c r="F28" s="59"/>
      <c r="G28" s="59"/>
      <c r="H28" s="57"/>
      <c r="I28" s="57"/>
      <c r="J28" s="57"/>
      <c r="K28" s="57"/>
      <c r="L28" s="27"/>
      <c r="M28" s="49"/>
    </row>
    <row r="29" spans="1:13" s="36" customFormat="1" ht="30" customHeight="1">
      <c r="A29" s="29" t="s">
        <v>79</v>
      </c>
      <c r="B29" s="30"/>
      <c r="C29" s="60" t="s">
        <v>80</v>
      </c>
      <c r="D29" s="60"/>
      <c r="E29" s="60"/>
      <c r="F29" s="60"/>
      <c r="G29" s="60"/>
      <c r="H29" s="32"/>
      <c r="I29" s="32"/>
      <c r="J29" s="32"/>
      <c r="K29" s="33">
        <f>SUM(K30:K43)</f>
        <v>6828.120000000001</v>
      </c>
      <c r="L29" s="27"/>
      <c r="M29" s="49"/>
    </row>
    <row r="30" spans="1:13" s="65" customFormat="1" ht="30" customHeight="1">
      <c r="A30" s="61" t="s">
        <v>81</v>
      </c>
      <c r="B30" s="45" t="s">
        <v>82</v>
      </c>
      <c r="C30" s="46" t="s">
        <v>83</v>
      </c>
      <c r="D30" s="46"/>
      <c r="E30" s="46"/>
      <c r="F30" s="46"/>
      <c r="G30" s="46"/>
      <c r="H30" s="61" t="s">
        <v>17</v>
      </c>
      <c r="I30" s="62">
        <f>ROUND(4.65*1,2)</f>
        <v>4.65</v>
      </c>
      <c r="J30" s="63">
        <v>48.2</v>
      </c>
      <c r="K30" s="63">
        <f aca="true" t="shared" si="3" ref="K30:K43">ROUND(I30*J30,2)</f>
        <v>224.13</v>
      </c>
      <c r="L30" s="27"/>
      <c r="M30" s="64" t="s">
        <v>84</v>
      </c>
    </row>
    <row r="31" spans="1:13" s="43" customFormat="1" ht="45" customHeight="1">
      <c r="A31" s="66" t="s">
        <v>85</v>
      </c>
      <c r="B31" s="45" t="s">
        <v>86</v>
      </c>
      <c r="C31" s="46" t="s">
        <v>87</v>
      </c>
      <c r="D31" s="46" t="s">
        <v>88</v>
      </c>
      <c r="E31" s="46" t="s">
        <v>88</v>
      </c>
      <c r="F31" s="46" t="s">
        <v>88</v>
      </c>
      <c r="G31" s="46" t="s">
        <v>88</v>
      </c>
      <c r="H31" s="44" t="s">
        <v>17</v>
      </c>
      <c r="I31" s="47">
        <f>ROUND(4.5*2,2)</f>
        <v>9</v>
      </c>
      <c r="J31" s="48">
        <v>28.29</v>
      </c>
      <c r="K31" s="48">
        <f t="shared" si="3"/>
        <v>254.61</v>
      </c>
      <c r="L31" s="27"/>
      <c r="M31" s="49" t="s">
        <v>89</v>
      </c>
    </row>
    <row r="32" spans="1:13" s="43" customFormat="1" ht="60" customHeight="1">
      <c r="A32" s="66" t="s">
        <v>90</v>
      </c>
      <c r="B32" s="45" t="s">
        <v>91</v>
      </c>
      <c r="C32" s="46" t="s">
        <v>92</v>
      </c>
      <c r="D32" s="46" t="s">
        <v>93</v>
      </c>
      <c r="E32" s="46" t="s">
        <v>93</v>
      </c>
      <c r="F32" s="46" t="s">
        <v>93</v>
      </c>
      <c r="G32" s="46" t="s">
        <v>93</v>
      </c>
      <c r="H32" s="44" t="s">
        <v>17</v>
      </c>
      <c r="I32" s="47">
        <f>ROUND(0.3*0.3*4,2)</f>
        <v>0.36</v>
      </c>
      <c r="J32" s="48">
        <v>81.21</v>
      </c>
      <c r="K32" s="48">
        <f t="shared" si="3"/>
        <v>29.24</v>
      </c>
      <c r="L32" s="27"/>
      <c r="M32" s="49" t="s">
        <v>94</v>
      </c>
    </row>
    <row r="33" spans="1:13" s="43" customFormat="1" ht="30" customHeight="1">
      <c r="A33" s="66" t="s">
        <v>95</v>
      </c>
      <c r="B33" s="45" t="s">
        <v>96</v>
      </c>
      <c r="C33" s="46" t="s">
        <v>97</v>
      </c>
      <c r="D33" s="46" t="s">
        <v>98</v>
      </c>
      <c r="E33" s="46" t="s">
        <v>98</v>
      </c>
      <c r="F33" s="46" t="s">
        <v>98</v>
      </c>
      <c r="G33" s="46" t="s">
        <v>98</v>
      </c>
      <c r="H33" s="44" t="s">
        <v>99</v>
      </c>
      <c r="I33" s="47">
        <f>ROUND(9.15+11.15+2.9,2)</f>
        <v>23.2</v>
      </c>
      <c r="J33" s="48">
        <v>22.07</v>
      </c>
      <c r="K33" s="48">
        <f t="shared" si="3"/>
        <v>512.02</v>
      </c>
      <c r="L33" s="27"/>
      <c r="M33" s="49" t="s">
        <v>100</v>
      </c>
    </row>
    <row r="34" spans="1:13" s="65" customFormat="1" ht="15" customHeight="1">
      <c r="A34" s="61" t="s">
        <v>101</v>
      </c>
      <c r="B34" s="45" t="s">
        <v>102</v>
      </c>
      <c r="C34" s="46" t="s">
        <v>103</v>
      </c>
      <c r="D34" s="46"/>
      <c r="E34" s="46"/>
      <c r="F34" s="46"/>
      <c r="G34" s="46"/>
      <c r="H34" s="61" t="s">
        <v>17</v>
      </c>
      <c r="I34" s="62">
        <f>ROUND(0.2*4.2,2)</f>
        <v>0.84</v>
      </c>
      <c r="J34" s="63">
        <v>5.53</v>
      </c>
      <c r="K34" s="63">
        <f t="shared" si="3"/>
        <v>4.65</v>
      </c>
      <c r="L34" s="27"/>
      <c r="M34" s="64" t="s">
        <v>104</v>
      </c>
    </row>
    <row r="35" spans="1:13" s="65" customFormat="1" ht="30" customHeight="1">
      <c r="A35" s="61" t="s">
        <v>105</v>
      </c>
      <c r="B35" s="45" t="s">
        <v>106</v>
      </c>
      <c r="C35" s="46" t="s">
        <v>107</v>
      </c>
      <c r="D35" s="46"/>
      <c r="E35" s="46"/>
      <c r="F35" s="46"/>
      <c r="G35" s="46"/>
      <c r="H35" s="61" t="s">
        <v>17</v>
      </c>
      <c r="I35" s="62">
        <f>ROUND(0.2*7.2,2)</f>
        <v>1.44</v>
      </c>
      <c r="J35" s="63">
        <v>231.44</v>
      </c>
      <c r="K35" s="63">
        <f t="shared" si="3"/>
        <v>333.27</v>
      </c>
      <c r="L35" s="27"/>
      <c r="M35" s="64" t="s">
        <v>108</v>
      </c>
    </row>
    <row r="36" spans="1:13" s="65" customFormat="1" ht="60" customHeight="1">
      <c r="A36" s="51" t="s">
        <v>109</v>
      </c>
      <c r="B36" s="45" t="s">
        <v>110</v>
      </c>
      <c r="C36" s="46" t="s">
        <v>111</v>
      </c>
      <c r="D36" s="46"/>
      <c r="E36" s="46"/>
      <c r="F36" s="46"/>
      <c r="G36" s="46"/>
      <c r="H36" s="61" t="s">
        <v>17</v>
      </c>
      <c r="I36" s="62">
        <f>ROUND(1.5*0.2,2)</f>
        <v>0.3</v>
      </c>
      <c r="J36" s="67">
        <v>60.19</v>
      </c>
      <c r="K36" s="63">
        <f t="shared" si="3"/>
        <v>18.06</v>
      </c>
      <c r="L36" s="27"/>
      <c r="M36" s="64" t="s">
        <v>112</v>
      </c>
    </row>
    <row r="37" spans="1:13" s="54" customFormat="1" ht="15" customHeight="1">
      <c r="A37" s="61" t="s">
        <v>113</v>
      </c>
      <c r="B37" s="45" t="s">
        <v>114</v>
      </c>
      <c r="C37" s="46" t="s">
        <v>115</v>
      </c>
      <c r="D37" s="46"/>
      <c r="E37" s="46"/>
      <c r="F37" s="46"/>
      <c r="G37" s="46"/>
      <c r="H37" s="51" t="s">
        <v>17</v>
      </c>
      <c r="I37" s="56">
        <f>ROUND((5.75*4)+(2.65*4.35)+(2.05*0.9),2)</f>
        <v>36.37</v>
      </c>
      <c r="J37" s="52">
        <v>56.78</v>
      </c>
      <c r="K37" s="48">
        <f t="shared" si="3"/>
        <v>2065.09</v>
      </c>
      <c r="L37" s="53"/>
      <c r="M37" s="49" t="s">
        <v>116</v>
      </c>
    </row>
    <row r="38" spans="1:16" s="65" customFormat="1" ht="45" customHeight="1">
      <c r="A38" s="66" t="s">
        <v>117</v>
      </c>
      <c r="B38" s="45" t="s">
        <v>118</v>
      </c>
      <c r="C38" s="46" t="s">
        <v>119</v>
      </c>
      <c r="D38" s="46"/>
      <c r="E38" s="46"/>
      <c r="F38" s="46"/>
      <c r="G38" s="46"/>
      <c r="H38" s="61" t="s">
        <v>17</v>
      </c>
      <c r="I38" s="56">
        <f>ROUND((5.75*4)+(2.65*4.35)+(2.05*0.9)+(1.9*2.95)+(2.5*4.2)+(5*0.9),2)</f>
        <v>56.98</v>
      </c>
      <c r="J38" s="63">
        <v>40.07</v>
      </c>
      <c r="K38" s="63">
        <f t="shared" si="3"/>
        <v>2283.19</v>
      </c>
      <c r="L38" s="27"/>
      <c r="M38" s="64" t="s">
        <v>120</v>
      </c>
      <c r="O38" s="68"/>
      <c r="P38" s="68"/>
    </row>
    <row r="39" spans="1:13" s="43" customFormat="1" ht="45" customHeight="1">
      <c r="A39" s="66" t="s">
        <v>121</v>
      </c>
      <c r="B39" s="45" t="s">
        <v>122</v>
      </c>
      <c r="C39" s="46" t="s">
        <v>123</v>
      </c>
      <c r="D39" s="46"/>
      <c r="E39" s="46"/>
      <c r="F39" s="46"/>
      <c r="G39" s="46"/>
      <c r="H39" s="44" t="s">
        <v>17</v>
      </c>
      <c r="I39" s="47">
        <f>ROUND(4*0.2*0.4,2)</f>
        <v>0.32</v>
      </c>
      <c r="J39" s="48">
        <v>66.84</v>
      </c>
      <c r="K39" s="48">
        <f t="shared" si="3"/>
        <v>21.39</v>
      </c>
      <c r="L39" s="27"/>
      <c r="M39" s="49" t="s">
        <v>124</v>
      </c>
    </row>
    <row r="40" spans="1:13" s="43" customFormat="1" ht="30" customHeight="1">
      <c r="A40" s="66" t="s">
        <v>125</v>
      </c>
      <c r="B40" s="45" t="s">
        <v>126</v>
      </c>
      <c r="C40" s="46" t="s">
        <v>127</v>
      </c>
      <c r="D40" s="46"/>
      <c r="E40" s="46"/>
      <c r="F40" s="46"/>
      <c r="G40" s="46"/>
      <c r="H40" s="44" t="s">
        <v>17</v>
      </c>
      <c r="I40" s="47">
        <f>ROUND(61.6*1*0.2,2)</f>
        <v>12.32</v>
      </c>
      <c r="J40" s="48">
        <v>45.95</v>
      </c>
      <c r="K40" s="48">
        <f t="shared" si="3"/>
        <v>566.1</v>
      </c>
      <c r="L40" s="27"/>
      <c r="M40" s="49" t="s">
        <v>128</v>
      </c>
    </row>
    <row r="41" spans="1:13" s="65" customFormat="1" ht="15" customHeight="1">
      <c r="A41" s="61" t="s">
        <v>129</v>
      </c>
      <c r="B41" s="45" t="s">
        <v>130</v>
      </c>
      <c r="C41" s="46" t="s">
        <v>131</v>
      </c>
      <c r="D41" s="46"/>
      <c r="E41" s="46"/>
      <c r="F41" s="46"/>
      <c r="G41" s="46"/>
      <c r="H41" s="61" t="s">
        <v>99</v>
      </c>
      <c r="I41" s="62">
        <f>ROUND((1.2*6)+(0.8*2),2)</f>
        <v>8.8</v>
      </c>
      <c r="J41" s="63">
        <v>28.9</v>
      </c>
      <c r="K41" s="63">
        <f t="shared" si="3"/>
        <v>254.32</v>
      </c>
      <c r="L41" s="27"/>
      <c r="M41" s="64" t="s">
        <v>132</v>
      </c>
    </row>
    <row r="42" spans="1:13" s="65" customFormat="1" ht="30" customHeight="1">
      <c r="A42" s="61" t="s">
        <v>133</v>
      </c>
      <c r="B42" s="45" t="s">
        <v>134</v>
      </c>
      <c r="C42" s="46" t="s">
        <v>135</v>
      </c>
      <c r="D42" s="46"/>
      <c r="E42" s="46"/>
      <c r="F42" s="46"/>
      <c r="G42" s="46"/>
      <c r="H42" s="61" t="s">
        <v>17</v>
      </c>
      <c r="I42" s="62">
        <f>ROUND(2*0.5,2)</f>
        <v>1</v>
      </c>
      <c r="J42" s="63">
        <v>84</v>
      </c>
      <c r="K42" s="63">
        <f t="shared" si="3"/>
        <v>84</v>
      </c>
      <c r="L42" s="27"/>
      <c r="M42" s="64" t="s">
        <v>136</v>
      </c>
    </row>
    <row r="43" spans="1:13" s="65" customFormat="1" ht="30" customHeight="1">
      <c r="A43" s="61" t="s">
        <v>137</v>
      </c>
      <c r="B43" s="45" t="s">
        <v>138</v>
      </c>
      <c r="C43" s="46" t="s">
        <v>139</v>
      </c>
      <c r="D43" s="46"/>
      <c r="E43" s="46"/>
      <c r="F43" s="46"/>
      <c r="G43" s="46"/>
      <c r="H43" s="61" t="s">
        <v>17</v>
      </c>
      <c r="I43" s="62">
        <f>ROUND((1.5+0.7),2)</f>
        <v>2.2</v>
      </c>
      <c r="J43" s="63">
        <v>80.93</v>
      </c>
      <c r="K43" s="63">
        <f t="shared" si="3"/>
        <v>178.05</v>
      </c>
      <c r="L43" s="27"/>
      <c r="M43" s="64" t="s">
        <v>140</v>
      </c>
    </row>
    <row r="44" spans="1:13" s="74" customFormat="1" ht="9.75" customHeight="1">
      <c r="A44" s="69"/>
      <c r="B44" s="69"/>
      <c r="C44" s="70"/>
      <c r="D44" s="70"/>
      <c r="E44" s="70"/>
      <c r="F44" s="70"/>
      <c r="G44" s="70"/>
      <c r="H44" s="71"/>
      <c r="I44" s="69"/>
      <c r="J44" s="69"/>
      <c r="K44" s="69"/>
      <c r="L44" s="72"/>
      <c r="M44" s="73"/>
    </row>
    <row r="45" spans="1:13" s="36" customFormat="1" ht="30" customHeight="1">
      <c r="A45" s="29" t="s">
        <v>141</v>
      </c>
      <c r="B45" s="30"/>
      <c r="C45" s="60" t="s">
        <v>142</v>
      </c>
      <c r="D45" s="60"/>
      <c r="E45" s="60"/>
      <c r="F45" s="60"/>
      <c r="G45" s="60"/>
      <c r="H45" s="32"/>
      <c r="I45" s="32"/>
      <c r="J45" s="32"/>
      <c r="K45" s="33">
        <f>SUM(K46:K52)</f>
        <v>8878.519999999999</v>
      </c>
      <c r="L45" s="27"/>
      <c r="M45" s="49"/>
    </row>
    <row r="46" spans="1:20" s="27" customFormat="1" ht="15" customHeight="1">
      <c r="A46" s="61" t="s">
        <v>143</v>
      </c>
      <c r="B46" s="45" t="s">
        <v>144</v>
      </c>
      <c r="C46" s="46" t="s">
        <v>145</v>
      </c>
      <c r="D46" s="46" t="s">
        <v>146</v>
      </c>
      <c r="E46" s="46" t="s">
        <v>146</v>
      </c>
      <c r="F46" s="46" t="s">
        <v>146</v>
      </c>
      <c r="G46" s="46" t="s">
        <v>146</v>
      </c>
      <c r="H46" s="61" t="s">
        <v>147</v>
      </c>
      <c r="I46" s="62">
        <v>3</v>
      </c>
      <c r="J46" s="63">
        <v>1202.58</v>
      </c>
      <c r="K46" s="63">
        <f aca="true" t="shared" si="4" ref="K46:K52">ROUND(I46*J46,2)</f>
        <v>3607.74</v>
      </c>
      <c r="M46" s="64" t="s">
        <v>148</v>
      </c>
      <c r="N46" s="75"/>
      <c r="O46" s="75"/>
      <c r="P46" s="75"/>
      <c r="Q46" s="75"/>
      <c r="R46" s="75"/>
      <c r="S46" s="76">
        <v>586.41</v>
      </c>
      <c r="T46" s="75"/>
    </row>
    <row r="47" spans="1:20" s="27" customFormat="1" ht="15" customHeight="1">
      <c r="A47" s="61" t="s">
        <v>149</v>
      </c>
      <c r="B47" s="45" t="s">
        <v>150</v>
      </c>
      <c r="C47" s="46" t="s">
        <v>151</v>
      </c>
      <c r="D47" s="46" t="s">
        <v>152</v>
      </c>
      <c r="E47" s="46" t="s">
        <v>152</v>
      </c>
      <c r="F47" s="46" t="s">
        <v>152</v>
      </c>
      <c r="G47" s="46" t="s">
        <v>152</v>
      </c>
      <c r="H47" s="61" t="s">
        <v>147</v>
      </c>
      <c r="I47" s="62">
        <v>5</v>
      </c>
      <c r="J47" s="63">
        <v>519.72</v>
      </c>
      <c r="K47" s="63">
        <f t="shared" si="4"/>
        <v>2598.6</v>
      </c>
      <c r="M47" s="64" t="s">
        <v>153</v>
      </c>
      <c r="N47" s="75"/>
      <c r="O47" s="75"/>
      <c r="P47" s="75"/>
      <c r="Q47" s="75"/>
      <c r="R47" s="75"/>
      <c r="S47" s="76">
        <v>400.12</v>
      </c>
      <c r="T47" s="75"/>
    </row>
    <row r="48" spans="1:19" s="43" customFormat="1" ht="30" customHeight="1">
      <c r="A48" s="66" t="s">
        <v>154</v>
      </c>
      <c r="B48" s="45" t="s">
        <v>155</v>
      </c>
      <c r="C48" s="46" t="s">
        <v>156</v>
      </c>
      <c r="D48" s="46" t="s">
        <v>156</v>
      </c>
      <c r="E48" s="46" t="s">
        <v>156</v>
      </c>
      <c r="F48" s="46" t="s">
        <v>156</v>
      </c>
      <c r="G48" s="46" t="s">
        <v>156</v>
      </c>
      <c r="H48" s="44" t="s">
        <v>147</v>
      </c>
      <c r="I48" s="47">
        <v>40</v>
      </c>
      <c r="J48" s="48">
        <v>21.07</v>
      </c>
      <c r="K48" s="48">
        <f t="shared" si="4"/>
        <v>842.8</v>
      </c>
      <c r="L48" s="77"/>
      <c r="M48" s="49" t="s">
        <v>157</v>
      </c>
      <c r="S48" s="78">
        <v>15.33</v>
      </c>
    </row>
    <row r="49" spans="1:19" s="43" customFormat="1" ht="30" customHeight="1">
      <c r="A49" s="66" t="s">
        <v>158</v>
      </c>
      <c r="B49" s="45" t="s">
        <v>159</v>
      </c>
      <c r="C49" s="46" t="s">
        <v>160</v>
      </c>
      <c r="D49" s="46" t="s">
        <v>161</v>
      </c>
      <c r="E49" s="46" t="s">
        <v>161</v>
      </c>
      <c r="F49" s="46" t="s">
        <v>161</v>
      </c>
      <c r="G49" s="46" t="s">
        <v>161</v>
      </c>
      <c r="H49" s="44" t="s">
        <v>147</v>
      </c>
      <c r="I49" s="47">
        <v>40</v>
      </c>
      <c r="J49" s="48">
        <v>21.96</v>
      </c>
      <c r="K49" s="48">
        <f t="shared" si="4"/>
        <v>878.4</v>
      </c>
      <c r="L49" s="77"/>
      <c r="M49" s="49" t="s">
        <v>162</v>
      </c>
      <c r="S49" s="78">
        <v>15.92</v>
      </c>
    </row>
    <row r="50" spans="1:19" s="65" customFormat="1" ht="30" customHeight="1">
      <c r="A50" s="61" t="s">
        <v>163</v>
      </c>
      <c r="B50" s="45" t="s">
        <v>164</v>
      </c>
      <c r="C50" s="79" t="s">
        <v>165</v>
      </c>
      <c r="D50" s="79" t="s">
        <v>166</v>
      </c>
      <c r="E50" s="79" t="s">
        <v>166</v>
      </c>
      <c r="F50" s="79" t="s">
        <v>166</v>
      </c>
      <c r="G50" s="79" t="s">
        <v>166</v>
      </c>
      <c r="H50" s="61" t="s">
        <v>147</v>
      </c>
      <c r="I50" s="62">
        <v>4</v>
      </c>
      <c r="J50" s="63">
        <v>162.12</v>
      </c>
      <c r="K50" s="63">
        <f t="shared" si="4"/>
        <v>648.48</v>
      </c>
      <c r="L50" s="27"/>
      <c r="M50" s="64" t="s">
        <v>167</v>
      </c>
      <c r="S50" s="76">
        <v>58.42</v>
      </c>
    </row>
    <row r="51" spans="1:19" s="43" customFormat="1" ht="15" customHeight="1">
      <c r="A51" s="66" t="s">
        <v>168</v>
      </c>
      <c r="B51" s="45" t="s">
        <v>169</v>
      </c>
      <c r="C51" s="80" t="s">
        <v>170</v>
      </c>
      <c r="D51" s="80"/>
      <c r="E51" s="80"/>
      <c r="F51" s="80"/>
      <c r="G51" s="80"/>
      <c r="H51" s="44" t="s">
        <v>17</v>
      </c>
      <c r="I51" s="47">
        <f>ROUND((1.15*1)+(0.25*0.4*6),2)</f>
        <v>1.75</v>
      </c>
      <c r="J51" s="48">
        <v>70.02</v>
      </c>
      <c r="K51" s="48">
        <f t="shared" si="4"/>
        <v>122.54</v>
      </c>
      <c r="L51" s="27"/>
      <c r="M51" s="49" t="s">
        <v>171</v>
      </c>
      <c r="S51" s="78"/>
    </row>
    <row r="52" spans="1:19" s="43" customFormat="1" ht="15" customHeight="1">
      <c r="A52" s="66" t="s">
        <v>172</v>
      </c>
      <c r="B52" s="45" t="s">
        <v>173</v>
      </c>
      <c r="C52" s="80" t="s">
        <v>174</v>
      </c>
      <c r="D52" s="80"/>
      <c r="E52" s="80"/>
      <c r="F52" s="80"/>
      <c r="G52" s="80"/>
      <c r="H52" s="44" t="s">
        <v>17</v>
      </c>
      <c r="I52" s="47">
        <f>ROUND(0.6*1.2,2)</f>
        <v>0.72</v>
      </c>
      <c r="J52" s="48">
        <v>249.95</v>
      </c>
      <c r="K52" s="48">
        <f t="shared" si="4"/>
        <v>179.96</v>
      </c>
      <c r="L52" s="27"/>
      <c r="M52" s="49" t="s">
        <v>175</v>
      </c>
      <c r="S52" s="78"/>
    </row>
    <row r="53" spans="1:13" s="74" customFormat="1" ht="9.75" customHeight="1">
      <c r="A53" s="81"/>
      <c r="B53" s="81"/>
      <c r="C53" s="82"/>
      <c r="D53" s="82"/>
      <c r="E53" s="82"/>
      <c r="F53" s="82"/>
      <c r="G53" s="82"/>
      <c r="H53" s="83"/>
      <c r="I53" s="81"/>
      <c r="J53" s="81"/>
      <c r="K53" s="81"/>
      <c r="L53" s="72"/>
      <c r="M53" s="73"/>
    </row>
    <row r="54" spans="1:13" s="36" customFormat="1" ht="30" customHeight="1">
      <c r="A54" s="29" t="s">
        <v>176</v>
      </c>
      <c r="B54" s="30"/>
      <c r="C54" s="84" t="s">
        <v>177</v>
      </c>
      <c r="D54" s="84"/>
      <c r="E54" s="84"/>
      <c r="F54" s="84"/>
      <c r="G54" s="84"/>
      <c r="H54" s="32"/>
      <c r="I54" s="32"/>
      <c r="J54" s="32"/>
      <c r="K54" s="33">
        <f>SUM(K55:K63)</f>
        <v>1766.6100000000001</v>
      </c>
      <c r="L54" s="27"/>
      <c r="M54" s="49"/>
    </row>
    <row r="55" spans="1:13" s="43" customFormat="1" ht="45" customHeight="1">
      <c r="A55" s="66" t="s">
        <v>178</v>
      </c>
      <c r="B55" s="45" t="s">
        <v>179</v>
      </c>
      <c r="C55" s="46" t="s">
        <v>180</v>
      </c>
      <c r="D55" s="46" t="s">
        <v>181</v>
      </c>
      <c r="E55" s="46" t="s">
        <v>181</v>
      </c>
      <c r="F55" s="46" t="s">
        <v>181</v>
      </c>
      <c r="G55" s="46" t="s">
        <v>181</v>
      </c>
      <c r="H55" s="44" t="s">
        <v>147</v>
      </c>
      <c r="I55" s="47">
        <v>6</v>
      </c>
      <c r="J55" s="48">
        <v>55.19</v>
      </c>
      <c r="K55" s="48">
        <f aca="true" t="shared" si="5" ref="K55:K63">ROUND(I55*J55,2)</f>
        <v>331.14</v>
      </c>
      <c r="L55" s="27"/>
      <c r="M55" s="49" t="s">
        <v>182</v>
      </c>
    </row>
    <row r="56" spans="1:13" s="65" customFormat="1" ht="15" customHeight="1">
      <c r="A56" s="61" t="s">
        <v>183</v>
      </c>
      <c r="B56" s="45" t="s">
        <v>184</v>
      </c>
      <c r="C56" s="79" t="s">
        <v>185</v>
      </c>
      <c r="D56" s="79" t="s">
        <v>186</v>
      </c>
      <c r="E56" s="79" t="s">
        <v>186</v>
      </c>
      <c r="F56" s="79" t="s">
        <v>186</v>
      </c>
      <c r="G56" s="79" t="s">
        <v>186</v>
      </c>
      <c r="H56" s="61" t="s">
        <v>147</v>
      </c>
      <c r="I56" s="62">
        <v>7</v>
      </c>
      <c r="J56" s="63">
        <v>4.74</v>
      </c>
      <c r="K56" s="63">
        <f t="shared" si="5"/>
        <v>33.18</v>
      </c>
      <c r="L56" s="27"/>
      <c r="M56" s="64" t="s">
        <v>187</v>
      </c>
    </row>
    <row r="57" spans="1:13" s="43" customFormat="1" ht="45" customHeight="1">
      <c r="A57" s="66" t="s">
        <v>188</v>
      </c>
      <c r="B57" s="45" t="s">
        <v>189</v>
      </c>
      <c r="C57" s="46" t="s">
        <v>190</v>
      </c>
      <c r="D57" s="46" t="s">
        <v>181</v>
      </c>
      <c r="E57" s="46" t="s">
        <v>181</v>
      </c>
      <c r="F57" s="46" t="s">
        <v>181</v>
      </c>
      <c r="G57" s="46" t="s">
        <v>181</v>
      </c>
      <c r="H57" s="44" t="s">
        <v>147</v>
      </c>
      <c r="I57" s="47">
        <v>3</v>
      </c>
      <c r="J57" s="48">
        <v>160.6</v>
      </c>
      <c r="K57" s="48">
        <f t="shared" si="5"/>
        <v>481.8</v>
      </c>
      <c r="L57" s="27"/>
      <c r="M57" s="49" t="s">
        <v>191</v>
      </c>
    </row>
    <row r="58" spans="1:13" s="43" customFormat="1" ht="15" customHeight="1">
      <c r="A58" s="66" t="s">
        <v>192</v>
      </c>
      <c r="B58" s="45" t="s">
        <v>193</v>
      </c>
      <c r="C58" s="85" t="s">
        <v>194</v>
      </c>
      <c r="D58" s="85"/>
      <c r="E58" s="85"/>
      <c r="F58" s="85"/>
      <c r="G58" s="85"/>
      <c r="H58" s="44" t="s">
        <v>147</v>
      </c>
      <c r="I58" s="47">
        <v>3</v>
      </c>
      <c r="J58" s="48">
        <v>28.55</v>
      </c>
      <c r="K58" s="48">
        <f t="shared" si="5"/>
        <v>85.65</v>
      </c>
      <c r="L58" s="27"/>
      <c r="M58" s="49" t="s">
        <v>191</v>
      </c>
    </row>
    <row r="59" spans="1:16" s="65" customFormat="1" ht="15" customHeight="1">
      <c r="A59" s="61" t="s">
        <v>195</v>
      </c>
      <c r="B59" s="45" t="s">
        <v>196</v>
      </c>
      <c r="C59" s="46" t="s">
        <v>197</v>
      </c>
      <c r="D59" s="46" t="s">
        <v>198</v>
      </c>
      <c r="E59" s="46" t="s">
        <v>198</v>
      </c>
      <c r="F59" s="46" t="s">
        <v>198</v>
      </c>
      <c r="G59" s="46" t="s">
        <v>198</v>
      </c>
      <c r="H59" s="61" t="s">
        <v>147</v>
      </c>
      <c r="I59" s="62">
        <f>(2+10+7+6+1+2+2+1+2+1)</f>
        <v>34</v>
      </c>
      <c r="J59" s="63">
        <v>13.28</v>
      </c>
      <c r="K59" s="63">
        <f t="shared" si="5"/>
        <v>451.52</v>
      </c>
      <c r="L59" s="86"/>
      <c r="M59" s="64" t="s">
        <v>199</v>
      </c>
      <c r="O59" s="87"/>
      <c r="P59" s="87"/>
    </row>
    <row r="60" spans="1:13" s="43" customFormat="1" ht="30" customHeight="1">
      <c r="A60" s="66" t="s">
        <v>200</v>
      </c>
      <c r="B60" s="45" t="s">
        <v>201</v>
      </c>
      <c r="C60" s="46" t="s">
        <v>202</v>
      </c>
      <c r="D60" s="46" t="s">
        <v>203</v>
      </c>
      <c r="E60" s="46" t="s">
        <v>203</v>
      </c>
      <c r="F60" s="46" t="s">
        <v>203</v>
      </c>
      <c r="G60" s="46" t="s">
        <v>203</v>
      </c>
      <c r="H60" s="44" t="s">
        <v>99</v>
      </c>
      <c r="I60" s="47">
        <f>ROUND(20*3,2)</f>
        <v>60</v>
      </c>
      <c r="J60" s="48">
        <v>3.7</v>
      </c>
      <c r="K60" s="48">
        <f t="shared" si="5"/>
        <v>222</v>
      </c>
      <c r="L60" s="27"/>
      <c r="M60" s="49" t="s">
        <v>204</v>
      </c>
    </row>
    <row r="61" spans="1:13" s="43" customFormat="1" ht="30" customHeight="1">
      <c r="A61" s="66" t="s">
        <v>205</v>
      </c>
      <c r="B61" s="45" t="s">
        <v>206</v>
      </c>
      <c r="C61" s="46" t="s">
        <v>207</v>
      </c>
      <c r="D61" s="46" t="s">
        <v>208</v>
      </c>
      <c r="E61" s="46" t="s">
        <v>208</v>
      </c>
      <c r="F61" s="46" t="s">
        <v>208</v>
      </c>
      <c r="G61" s="46" t="s">
        <v>208</v>
      </c>
      <c r="H61" s="44" t="s">
        <v>147</v>
      </c>
      <c r="I61" s="47">
        <v>1</v>
      </c>
      <c r="J61" s="48">
        <v>7.56</v>
      </c>
      <c r="K61" s="48">
        <f t="shared" si="5"/>
        <v>7.56</v>
      </c>
      <c r="L61" s="27"/>
      <c r="M61" s="49" t="s">
        <v>209</v>
      </c>
    </row>
    <row r="62" spans="1:13" s="43" customFormat="1" ht="30" customHeight="1">
      <c r="A62" s="66" t="s">
        <v>210</v>
      </c>
      <c r="B62" s="45" t="s">
        <v>211</v>
      </c>
      <c r="C62" s="46" t="s">
        <v>212</v>
      </c>
      <c r="D62" s="46" t="s">
        <v>213</v>
      </c>
      <c r="E62" s="46" t="s">
        <v>213</v>
      </c>
      <c r="F62" s="46" t="s">
        <v>213</v>
      </c>
      <c r="G62" s="46" t="s">
        <v>213</v>
      </c>
      <c r="H62" s="44" t="s">
        <v>147</v>
      </c>
      <c r="I62" s="47">
        <v>1</v>
      </c>
      <c r="J62" s="48">
        <v>10.98</v>
      </c>
      <c r="K62" s="48">
        <f t="shared" si="5"/>
        <v>10.98</v>
      </c>
      <c r="L62" s="27"/>
      <c r="M62" s="49" t="s">
        <v>209</v>
      </c>
    </row>
    <row r="63" spans="1:13" s="65" customFormat="1" ht="45" customHeight="1">
      <c r="A63" s="61" t="s">
        <v>214</v>
      </c>
      <c r="B63" s="45" t="s">
        <v>215</v>
      </c>
      <c r="C63" s="46" t="s">
        <v>216</v>
      </c>
      <c r="D63" s="46"/>
      <c r="E63" s="46"/>
      <c r="F63" s="46"/>
      <c r="G63" s="46"/>
      <c r="H63" s="61" t="s">
        <v>147</v>
      </c>
      <c r="I63" s="62">
        <v>1</v>
      </c>
      <c r="J63" s="63">
        <v>142.78</v>
      </c>
      <c r="K63" s="63">
        <f t="shared" si="5"/>
        <v>142.78</v>
      </c>
      <c r="L63" s="27"/>
      <c r="M63" s="49" t="s">
        <v>217</v>
      </c>
    </row>
    <row r="64" spans="1:13" s="74" customFormat="1" ht="9.75" customHeight="1">
      <c r="A64" s="88"/>
      <c r="B64" s="88"/>
      <c r="C64" s="89"/>
      <c r="D64" s="89"/>
      <c r="E64" s="89"/>
      <c r="F64" s="89"/>
      <c r="G64" s="89"/>
      <c r="H64" s="90"/>
      <c r="I64" s="88"/>
      <c r="J64" s="88"/>
      <c r="K64" s="88"/>
      <c r="L64" s="72"/>
      <c r="M64" s="73"/>
    </row>
    <row r="65" spans="1:13" s="36" customFormat="1" ht="30" customHeight="1">
      <c r="A65" s="29" t="s">
        <v>218</v>
      </c>
      <c r="B65" s="30"/>
      <c r="C65" s="84" t="s">
        <v>219</v>
      </c>
      <c r="D65" s="84"/>
      <c r="E65" s="84"/>
      <c r="F65" s="84"/>
      <c r="G65" s="84"/>
      <c r="H65" s="32"/>
      <c r="I65" s="32"/>
      <c r="J65" s="32"/>
      <c r="K65" s="33">
        <f>SUM(K66:K73)</f>
        <v>1196.6399999999999</v>
      </c>
      <c r="L65" s="27"/>
      <c r="M65" s="49"/>
    </row>
    <row r="66" spans="1:13" s="43" customFormat="1" ht="15" customHeight="1">
      <c r="A66" s="66" t="s">
        <v>220</v>
      </c>
      <c r="B66" s="45" t="s">
        <v>221</v>
      </c>
      <c r="C66" s="46" t="s">
        <v>222</v>
      </c>
      <c r="D66" s="46" t="s">
        <v>223</v>
      </c>
      <c r="E66" s="46" t="s">
        <v>223</v>
      </c>
      <c r="F66" s="46" t="s">
        <v>223</v>
      </c>
      <c r="G66" s="46" t="s">
        <v>223</v>
      </c>
      <c r="H66" s="44" t="s">
        <v>147</v>
      </c>
      <c r="I66" s="47">
        <v>1</v>
      </c>
      <c r="J66" s="48">
        <v>43.61</v>
      </c>
      <c r="K66" s="48">
        <f aca="true" t="shared" si="6" ref="K66:K73">ROUND(I66*J66,2)</f>
        <v>43.61</v>
      </c>
      <c r="L66" s="27"/>
      <c r="M66" s="49" t="s">
        <v>224</v>
      </c>
    </row>
    <row r="67" spans="1:13" s="43" customFormat="1" ht="30" customHeight="1">
      <c r="A67" s="66" t="s">
        <v>225</v>
      </c>
      <c r="B67" s="45" t="s">
        <v>226</v>
      </c>
      <c r="C67" s="46" t="s">
        <v>227</v>
      </c>
      <c r="D67" s="46" t="s">
        <v>227</v>
      </c>
      <c r="E67" s="46" t="s">
        <v>227</v>
      </c>
      <c r="F67" s="46" t="s">
        <v>227</v>
      </c>
      <c r="G67" s="46" t="s">
        <v>227</v>
      </c>
      <c r="H67" s="44" t="s">
        <v>147</v>
      </c>
      <c r="I67" s="47">
        <v>1</v>
      </c>
      <c r="J67" s="48">
        <v>170.72</v>
      </c>
      <c r="K67" s="48">
        <f t="shared" si="6"/>
        <v>170.72</v>
      </c>
      <c r="L67" s="27"/>
      <c r="M67" s="49" t="s">
        <v>228</v>
      </c>
    </row>
    <row r="68" spans="1:13" s="43" customFormat="1" ht="15" customHeight="1">
      <c r="A68" s="66" t="s">
        <v>229</v>
      </c>
      <c r="B68" s="45" t="s">
        <v>230</v>
      </c>
      <c r="C68" s="46" t="s">
        <v>231</v>
      </c>
      <c r="D68" s="46" t="s">
        <v>232</v>
      </c>
      <c r="E68" s="46" t="s">
        <v>232</v>
      </c>
      <c r="F68" s="46" t="s">
        <v>232</v>
      </c>
      <c r="G68" s="46" t="s">
        <v>232</v>
      </c>
      <c r="H68" s="44" t="s">
        <v>147</v>
      </c>
      <c r="I68" s="47">
        <v>1</v>
      </c>
      <c r="J68" s="48">
        <v>73.47</v>
      </c>
      <c r="K68" s="48">
        <f t="shared" si="6"/>
        <v>73.47</v>
      </c>
      <c r="L68" s="27"/>
      <c r="M68" s="49" t="s">
        <v>224</v>
      </c>
    </row>
    <row r="69" spans="1:13" s="43" customFormat="1" ht="30" customHeight="1">
      <c r="A69" s="66" t="s">
        <v>233</v>
      </c>
      <c r="B69" s="45" t="s">
        <v>234</v>
      </c>
      <c r="C69" s="46" t="s">
        <v>235</v>
      </c>
      <c r="D69" s="46" t="s">
        <v>236</v>
      </c>
      <c r="E69" s="46" t="s">
        <v>236</v>
      </c>
      <c r="F69" s="46" t="s">
        <v>236</v>
      </c>
      <c r="G69" s="46" t="s">
        <v>236</v>
      </c>
      <c r="H69" s="44" t="s">
        <v>147</v>
      </c>
      <c r="I69" s="47">
        <v>3</v>
      </c>
      <c r="J69" s="48">
        <v>45.21</v>
      </c>
      <c r="K69" s="48">
        <f t="shared" si="6"/>
        <v>135.63</v>
      </c>
      <c r="L69" s="27"/>
      <c r="M69" s="49" t="s">
        <v>224</v>
      </c>
    </row>
    <row r="70" spans="1:17" s="27" customFormat="1" ht="30" customHeight="1">
      <c r="A70" s="61" t="s">
        <v>237</v>
      </c>
      <c r="B70" s="91" t="s">
        <v>238</v>
      </c>
      <c r="C70" s="46" t="s">
        <v>239</v>
      </c>
      <c r="D70" s="46" t="s">
        <v>240</v>
      </c>
      <c r="E70" s="46" t="s">
        <v>240</v>
      </c>
      <c r="F70" s="46" t="s">
        <v>240</v>
      </c>
      <c r="G70" s="46" t="s">
        <v>240</v>
      </c>
      <c r="H70" s="61" t="s">
        <v>241</v>
      </c>
      <c r="I70" s="62">
        <v>0.5</v>
      </c>
      <c r="J70" s="63">
        <v>19.81</v>
      </c>
      <c r="K70" s="63">
        <f t="shared" si="6"/>
        <v>9.91</v>
      </c>
      <c r="M70" s="64" t="s">
        <v>242</v>
      </c>
      <c r="O70" s="68"/>
      <c r="P70" s="68"/>
      <c r="Q70" s="68"/>
    </row>
    <row r="71" spans="1:13" s="43" customFormat="1" ht="15" customHeight="1">
      <c r="A71" s="66" t="s">
        <v>243</v>
      </c>
      <c r="B71" s="45" t="s">
        <v>244</v>
      </c>
      <c r="C71" s="46" t="s">
        <v>245</v>
      </c>
      <c r="D71" s="46"/>
      <c r="E71" s="46"/>
      <c r="F71" s="46"/>
      <c r="G71" s="46"/>
      <c r="H71" s="44" t="s">
        <v>147</v>
      </c>
      <c r="I71" s="47">
        <v>2</v>
      </c>
      <c r="J71" s="48">
        <v>38.69</v>
      </c>
      <c r="K71" s="48">
        <f t="shared" si="6"/>
        <v>77.38</v>
      </c>
      <c r="L71" s="27"/>
      <c r="M71" s="49" t="s">
        <v>246</v>
      </c>
    </row>
    <row r="72" spans="1:13" s="65" customFormat="1" ht="30" customHeight="1">
      <c r="A72" s="61" t="s">
        <v>247</v>
      </c>
      <c r="B72" s="45" t="s">
        <v>248</v>
      </c>
      <c r="C72" s="46" t="s">
        <v>249</v>
      </c>
      <c r="D72" s="46"/>
      <c r="E72" s="46"/>
      <c r="F72" s="46"/>
      <c r="G72" s="46"/>
      <c r="H72" s="61" t="s">
        <v>147</v>
      </c>
      <c r="I72" s="62">
        <v>0.5</v>
      </c>
      <c r="J72" s="63">
        <v>1226.63</v>
      </c>
      <c r="K72" s="63">
        <f t="shared" si="6"/>
        <v>613.32</v>
      </c>
      <c r="L72" s="27"/>
      <c r="M72" s="64" t="s">
        <v>250</v>
      </c>
    </row>
    <row r="73" spans="1:13" s="65" customFormat="1" ht="15" customHeight="1">
      <c r="A73" s="61" t="s">
        <v>251</v>
      </c>
      <c r="B73" s="45" t="s">
        <v>252</v>
      </c>
      <c r="C73" s="46" t="s">
        <v>253</v>
      </c>
      <c r="D73" s="46"/>
      <c r="E73" s="46"/>
      <c r="F73" s="46"/>
      <c r="G73" s="46"/>
      <c r="H73" s="61" t="s">
        <v>147</v>
      </c>
      <c r="I73" s="62">
        <v>1</v>
      </c>
      <c r="J73" s="63">
        <v>72.6</v>
      </c>
      <c r="K73" s="63">
        <f t="shared" si="6"/>
        <v>72.6</v>
      </c>
      <c r="L73" s="27"/>
      <c r="M73" s="64" t="s">
        <v>254</v>
      </c>
    </row>
    <row r="74" spans="1:13" s="36" customFormat="1" ht="9.75" customHeight="1">
      <c r="A74" s="92"/>
      <c r="B74" s="93"/>
      <c r="C74" s="94"/>
      <c r="D74" s="94"/>
      <c r="E74" s="94"/>
      <c r="F74" s="94"/>
      <c r="G74" s="94"/>
      <c r="H74" s="95"/>
      <c r="I74" s="96"/>
      <c r="J74" s="96"/>
      <c r="K74" s="96"/>
      <c r="L74" s="27"/>
      <c r="M74" s="49"/>
    </row>
    <row r="75" spans="1:13" s="36" customFormat="1" ht="30" customHeight="1">
      <c r="A75" s="29" t="s">
        <v>255</v>
      </c>
      <c r="B75" s="30"/>
      <c r="C75" s="84" t="s">
        <v>256</v>
      </c>
      <c r="D75" s="84"/>
      <c r="E75" s="84"/>
      <c r="F75" s="84"/>
      <c r="G75" s="84"/>
      <c r="H75" s="32"/>
      <c r="I75" s="32"/>
      <c r="J75" s="32"/>
      <c r="K75" s="33">
        <f>SUM(K76:K77)</f>
        <v>12688.029999999999</v>
      </c>
      <c r="L75" s="27"/>
      <c r="M75" s="49"/>
    </row>
    <row r="76" spans="1:13" s="43" customFormat="1" ht="30" customHeight="1">
      <c r="A76" s="97" t="s">
        <v>257</v>
      </c>
      <c r="B76" s="38" t="s">
        <v>258</v>
      </c>
      <c r="C76" s="39" t="s">
        <v>259</v>
      </c>
      <c r="D76" s="39" t="s">
        <v>260</v>
      </c>
      <c r="E76" s="39" t="s">
        <v>260</v>
      </c>
      <c r="F76" s="39" t="s">
        <v>260</v>
      </c>
      <c r="G76" s="39" t="s">
        <v>260</v>
      </c>
      <c r="H76" s="37" t="s">
        <v>17</v>
      </c>
      <c r="I76" s="40">
        <f aca="true" t="shared" si="7" ref="I76:I77">ROUND(453.5*0.2,2)</f>
        <v>90.7</v>
      </c>
      <c r="J76" s="41">
        <v>15.48</v>
      </c>
      <c r="K76" s="48">
        <f aca="true" t="shared" si="8" ref="K76:K77">ROUND(I76*J76,2)</f>
        <v>1404.04</v>
      </c>
      <c r="L76" s="27"/>
      <c r="M76" s="49" t="s">
        <v>261</v>
      </c>
    </row>
    <row r="77" spans="1:13" s="43" customFormat="1" ht="30" customHeight="1">
      <c r="A77" s="66" t="s">
        <v>262</v>
      </c>
      <c r="B77" s="98" t="s">
        <v>263</v>
      </c>
      <c r="C77" s="46" t="s">
        <v>264</v>
      </c>
      <c r="D77" s="46" t="s">
        <v>265</v>
      </c>
      <c r="E77" s="46" t="s">
        <v>265</v>
      </c>
      <c r="F77" s="46" t="s">
        <v>265</v>
      </c>
      <c r="G77" s="46" t="s">
        <v>265</v>
      </c>
      <c r="H77" s="44" t="s">
        <v>17</v>
      </c>
      <c r="I77" s="47">
        <f t="shared" si="7"/>
        <v>90.7</v>
      </c>
      <c r="J77" s="48">
        <v>124.41</v>
      </c>
      <c r="K77" s="48">
        <f t="shared" si="8"/>
        <v>11283.99</v>
      </c>
      <c r="L77" s="27"/>
      <c r="M77" s="49" t="s">
        <v>261</v>
      </c>
    </row>
    <row r="78" spans="1:13" s="36" customFormat="1" ht="9.75" customHeight="1">
      <c r="A78" s="92"/>
      <c r="B78" s="93"/>
      <c r="C78" s="94"/>
      <c r="D78" s="94"/>
      <c r="E78" s="94"/>
      <c r="F78" s="94"/>
      <c r="G78" s="94"/>
      <c r="H78" s="95"/>
      <c r="I78" s="96"/>
      <c r="J78" s="96"/>
      <c r="K78" s="96"/>
      <c r="L78" s="27"/>
      <c r="M78" s="49"/>
    </row>
    <row r="79" spans="1:13" s="36" customFormat="1" ht="30" customHeight="1">
      <c r="A79" s="29" t="s">
        <v>266</v>
      </c>
      <c r="B79" s="30"/>
      <c r="C79" s="84" t="s">
        <v>267</v>
      </c>
      <c r="D79" s="84"/>
      <c r="E79" s="84"/>
      <c r="F79" s="84"/>
      <c r="G79" s="84"/>
      <c r="H79" s="32"/>
      <c r="I79" s="32"/>
      <c r="J79" s="32"/>
      <c r="K79" s="33">
        <f>SUM(K80:K84)</f>
        <v>31082.980000000003</v>
      </c>
      <c r="L79" s="27"/>
      <c r="M79" s="49"/>
    </row>
    <row r="80" spans="1:13" s="43" customFormat="1" ht="30" customHeight="1">
      <c r="A80" s="66" t="s">
        <v>268</v>
      </c>
      <c r="B80" s="45" t="s">
        <v>269</v>
      </c>
      <c r="C80" s="46" t="s">
        <v>270</v>
      </c>
      <c r="D80" s="46" t="s">
        <v>271</v>
      </c>
      <c r="E80" s="46" t="s">
        <v>271</v>
      </c>
      <c r="F80" s="46" t="s">
        <v>271</v>
      </c>
      <c r="G80" s="46" t="s">
        <v>271</v>
      </c>
      <c r="H80" s="44" t="s">
        <v>17</v>
      </c>
      <c r="I80" s="47">
        <f>ROUND(19.4*2.6,2)</f>
        <v>50.44</v>
      </c>
      <c r="J80" s="48">
        <v>17.11</v>
      </c>
      <c r="K80" s="48">
        <f aca="true" t="shared" si="9" ref="K80:K84">ROUND(I80*J80,2)</f>
        <v>863.03</v>
      </c>
      <c r="L80" s="27"/>
      <c r="M80" s="49" t="s">
        <v>272</v>
      </c>
    </row>
    <row r="81" spans="1:14" s="43" customFormat="1" ht="60" customHeight="1">
      <c r="A81" s="66" t="s">
        <v>273</v>
      </c>
      <c r="B81" s="45" t="s">
        <v>274</v>
      </c>
      <c r="C81" s="46" t="s">
        <v>275</v>
      </c>
      <c r="D81" s="46" t="s">
        <v>276</v>
      </c>
      <c r="E81" s="46" t="s">
        <v>276</v>
      </c>
      <c r="F81" s="46" t="s">
        <v>276</v>
      </c>
      <c r="G81" s="46" t="s">
        <v>276</v>
      </c>
      <c r="H81" s="44" t="s">
        <v>17</v>
      </c>
      <c r="I81" s="47">
        <f>ROUND(((110*4)+(20.2*4)+(61.8*4)+(11.7*4)+(11.59*4*2)+(10.4*4)+(12*2*2))-(I80),2)</f>
        <v>946.68</v>
      </c>
      <c r="J81" s="48">
        <v>23.68</v>
      </c>
      <c r="K81" s="48">
        <f t="shared" si="9"/>
        <v>22417.38</v>
      </c>
      <c r="L81" s="27"/>
      <c r="M81" s="49" t="s">
        <v>277</v>
      </c>
      <c r="N81" s="28"/>
    </row>
    <row r="82" spans="1:14" s="43" customFormat="1" ht="45" customHeight="1">
      <c r="A82" s="66" t="s">
        <v>278</v>
      </c>
      <c r="B82" s="45" t="s">
        <v>279</v>
      </c>
      <c r="C82" s="46" t="s">
        <v>280</v>
      </c>
      <c r="D82" s="46"/>
      <c r="E82" s="46"/>
      <c r="F82" s="46"/>
      <c r="G82" s="46"/>
      <c r="H82" s="44" t="s">
        <v>17</v>
      </c>
      <c r="I82" s="47">
        <f>ROUND((4.7*2.4*2.5)+(1.2*1.4*2.5*20)+(26.55*2*0.1)+(1.15*4.05)+(1.95*4.3*2)+(110*0.5)+(0.2*0.4*19*2)+(53.1*0.1)+(22.5*0.15*4*6)+(26.55*0.15*8),2)</f>
        <v>315.15</v>
      </c>
      <c r="J82" s="48">
        <v>17.17</v>
      </c>
      <c r="K82" s="48">
        <f t="shared" si="9"/>
        <v>5411.13</v>
      </c>
      <c r="L82" s="27"/>
      <c r="M82" s="49" t="s">
        <v>281</v>
      </c>
      <c r="N82" s="99"/>
    </row>
    <row r="83" spans="1:17" s="43" customFormat="1" ht="45" customHeight="1">
      <c r="A83" s="66" t="s">
        <v>282</v>
      </c>
      <c r="B83" s="45" t="s">
        <v>283</v>
      </c>
      <c r="C83" s="46" t="s">
        <v>284</v>
      </c>
      <c r="D83" s="46"/>
      <c r="E83" s="46"/>
      <c r="F83" s="46"/>
      <c r="G83" s="46"/>
      <c r="H83" s="44" t="s">
        <v>17</v>
      </c>
      <c r="I83" s="47">
        <f>ROUND((1*2.4*2*2)+(4.4*1*2)+(1.2*2.4*2)+(3.2*1.6*2),2)</f>
        <v>34.4</v>
      </c>
      <c r="J83" s="48">
        <v>14.03</v>
      </c>
      <c r="K83" s="48">
        <f t="shared" si="9"/>
        <v>482.63</v>
      </c>
      <c r="L83" s="27"/>
      <c r="M83" s="49" t="s">
        <v>285</v>
      </c>
      <c r="N83" s="100"/>
      <c r="O83" s="100"/>
      <c r="P83" s="100"/>
      <c r="Q83" s="100"/>
    </row>
    <row r="84" spans="1:13" s="43" customFormat="1" ht="45" customHeight="1">
      <c r="A84" s="66" t="s">
        <v>286</v>
      </c>
      <c r="B84" s="45" t="s">
        <v>287</v>
      </c>
      <c r="C84" s="46" t="s">
        <v>288</v>
      </c>
      <c r="D84" s="46" t="s">
        <v>289</v>
      </c>
      <c r="E84" s="46" t="s">
        <v>289</v>
      </c>
      <c r="F84" s="46" t="s">
        <v>289</v>
      </c>
      <c r="G84" s="46" t="s">
        <v>289</v>
      </c>
      <c r="H84" s="44" t="s">
        <v>17</v>
      </c>
      <c r="I84" s="47">
        <f>ROUND((0.9*2.2*2*4)+(0.2*0.7*16)+(0.8+0.8+2+11)+(0.2*0.7*44)+(1.2*1.2*2*10)+(0.2*0.7*40)+(0.8*1.2*2*2)+(0.2*0.7*8)+(0.4*0.4*2*80)+(0.2*0.45*320)+(0.4*0.4*5)+(0.5*1.5*2)+(0.2*0.7*4)+(4.1*0.6),2)</f>
        <v>137.92</v>
      </c>
      <c r="J84" s="48">
        <v>13.84</v>
      </c>
      <c r="K84" s="48">
        <f t="shared" si="9"/>
        <v>1908.81</v>
      </c>
      <c r="L84" s="27"/>
      <c r="M84" s="49" t="s">
        <v>290</v>
      </c>
    </row>
    <row r="85" spans="1:13" s="36" customFormat="1" ht="9.75" customHeight="1">
      <c r="A85" s="92"/>
      <c r="B85" s="93"/>
      <c r="C85" s="94"/>
      <c r="D85" s="94"/>
      <c r="E85" s="94"/>
      <c r="F85" s="94"/>
      <c r="G85" s="94"/>
      <c r="H85" s="95"/>
      <c r="I85" s="96"/>
      <c r="J85" s="96"/>
      <c r="K85" s="96"/>
      <c r="L85" s="27"/>
      <c r="M85" s="49"/>
    </row>
    <row r="86" spans="1:13" s="36" customFormat="1" ht="30" customHeight="1">
      <c r="A86" s="29" t="s">
        <v>291</v>
      </c>
      <c r="B86" s="30"/>
      <c r="C86" s="84" t="s">
        <v>292</v>
      </c>
      <c r="D86" s="84"/>
      <c r="E86" s="84"/>
      <c r="F86" s="84"/>
      <c r="G86" s="84"/>
      <c r="H86" s="32"/>
      <c r="I86" s="32"/>
      <c r="J86" s="32"/>
      <c r="K86" s="33">
        <f>SUM(K87:K88)</f>
        <v>3207.56</v>
      </c>
      <c r="L86" s="27"/>
      <c r="M86" s="49"/>
    </row>
    <row r="87" spans="1:13" s="43" customFormat="1" ht="45" customHeight="1">
      <c r="A87" s="97" t="s">
        <v>293</v>
      </c>
      <c r="B87" s="101" t="s">
        <v>294</v>
      </c>
      <c r="C87" s="102" t="s">
        <v>295</v>
      </c>
      <c r="D87" s="102" t="s">
        <v>296</v>
      </c>
      <c r="E87" s="102" t="s">
        <v>296</v>
      </c>
      <c r="F87" s="102" t="s">
        <v>296</v>
      </c>
      <c r="G87" s="102" t="s">
        <v>296</v>
      </c>
      <c r="H87" s="37" t="s">
        <v>17</v>
      </c>
      <c r="I87" s="40">
        <v>35</v>
      </c>
      <c r="J87" s="41">
        <v>62.75</v>
      </c>
      <c r="K87" s="41">
        <f aca="true" t="shared" si="10" ref="K87:K88">ROUND(I87*J87,2)</f>
        <v>2196.25</v>
      </c>
      <c r="L87" s="27"/>
      <c r="M87" s="49" t="s">
        <v>297</v>
      </c>
    </row>
    <row r="88" spans="1:13" s="43" customFormat="1" ht="15" customHeight="1">
      <c r="A88" s="66" t="s">
        <v>298</v>
      </c>
      <c r="B88" s="45" t="s">
        <v>299</v>
      </c>
      <c r="C88" s="80" t="s">
        <v>300</v>
      </c>
      <c r="D88" s="80"/>
      <c r="E88" s="80"/>
      <c r="F88" s="80"/>
      <c r="G88" s="80"/>
      <c r="H88" s="44" t="s">
        <v>17</v>
      </c>
      <c r="I88" s="47">
        <f>ROUND((8.7*26.55)-(I87),2)</f>
        <v>195.99</v>
      </c>
      <c r="J88" s="48">
        <v>5.16</v>
      </c>
      <c r="K88" s="48">
        <f t="shared" si="10"/>
        <v>1011.31</v>
      </c>
      <c r="L88" s="27"/>
      <c r="M88" s="49" t="s">
        <v>301</v>
      </c>
    </row>
    <row r="89" spans="1:13" s="36" customFormat="1" ht="9.75" customHeight="1">
      <c r="A89" s="103"/>
      <c r="B89" s="104"/>
      <c r="C89" s="105"/>
      <c r="D89" s="105"/>
      <c r="E89" s="105"/>
      <c r="F89" s="105"/>
      <c r="G89" s="105"/>
      <c r="H89" s="106"/>
      <c r="I89" s="107"/>
      <c r="J89" s="107"/>
      <c r="K89" s="107"/>
      <c r="L89" s="27"/>
      <c r="M89" s="42"/>
    </row>
    <row r="90" spans="1:11" s="110" customFormat="1" ht="19.5" customHeight="1">
      <c r="A90" s="108" t="s">
        <v>302</v>
      </c>
      <c r="B90" s="108"/>
      <c r="C90" s="108"/>
      <c r="D90" s="108"/>
      <c r="E90" s="108"/>
      <c r="F90" s="108"/>
      <c r="G90" s="108"/>
      <c r="H90" s="108"/>
      <c r="I90" s="108"/>
      <c r="J90" s="108"/>
      <c r="K90" s="109">
        <f>K12+K29+K45+K54+K65+K75+K79+K86</f>
        <v>105147.09</v>
      </c>
    </row>
    <row r="91" spans="1:11" s="110" customFormat="1" ht="19.5" customHeight="1">
      <c r="A91" s="111">
        <v>18.58</v>
      </c>
      <c r="B91" s="111"/>
      <c r="C91" s="111"/>
      <c r="D91" s="111"/>
      <c r="E91" s="111"/>
      <c r="F91" s="111"/>
      <c r="G91" s="111"/>
      <c r="H91" s="111"/>
      <c r="I91" s="111"/>
      <c r="J91" s="111"/>
      <c r="K91" s="112">
        <f>K90*0.01*A91</f>
        <v>19536.329321999998</v>
      </c>
    </row>
    <row r="92" spans="1:11" s="110" customFormat="1" ht="18.75" customHeight="1">
      <c r="A92" s="113" t="s">
        <v>303</v>
      </c>
      <c r="B92" s="113"/>
      <c r="C92" s="113"/>
      <c r="D92" s="113"/>
      <c r="E92" s="113"/>
      <c r="F92" s="113"/>
      <c r="G92" s="113"/>
      <c r="H92" s="113"/>
      <c r="I92" s="113"/>
      <c r="J92" s="113"/>
      <c r="K92" s="114">
        <f>K90+K91</f>
        <v>124683.419322</v>
      </c>
    </row>
    <row r="93" spans="1:13" s="74" customFormat="1" ht="12">
      <c r="A93" s="88"/>
      <c r="B93" s="88"/>
      <c r="C93" s="88"/>
      <c r="D93" s="88"/>
      <c r="E93" s="88"/>
      <c r="F93" s="88"/>
      <c r="G93" s="88"/>
      <c r="H93" s="90"/>
      <c r="I93" s="88"/>
      <c r="J93" s="88"/>
      <c r="K93" s="88"/>
      <c r="L93" s="72"/>
      <c r="M93" s="115"/>
    </row>
    <row r="94" spans="1:13" s="74" customFormat="1" ht="12">
      <c r="A94" s="88"/>
      <c r="B94" s="88"/>
      <c r="C94" s="88"/>
      <c r="D94" s="88"/>
      <c r="E94" s="88"/>
      <c r="F94" s="88"/>
      <c r="G94" s="88"/>
      <c r="H94" s="90"/>
      <c r="I94" s="88"/>
      <c r="J94" s="88"/>
      <c r="K94" s="88"/>
      <c r="L94" s="72"/>
      <c r="M94" s="115">
        <v>119622.41</v>
      </c>
    </row>
    <row r="95" spans="1:13" s="74" customFormat="1" ht="12">
      <c r="A95" s="88"/>
      <c r="B95" s="88"/>
      <c r="C95" s="88"/>
      <c r="D95" s="88"/>
      <c r="E95" s="88"/>
      <c r="F95" s="88"/>
      <c r="G95" s="88"/>
      <c r="H95" s="90"/>
      <c r="I95" s="88"/>
      <c r="J95" s="88"/>
      <c r="K95" s="88"/>
      <c r="L95" s="72"/>
      <c r="M95" s="115"/>
    </row>
    <row r="96" spans="1:13" s="74" customFormat="1" ht="12">
      <c r="A96" s="88"/>
      <c r="B96" s="88"/>
      <c r="C96" s="88"/>
      <c r="D96" s="88"/>
      <c r="E96" s="88"/>
      <c r="F96" s="88"/>
      <c r="G96" s="88"/>
      <c r="H96" s="90"/>
      <c r="I96" s="88"/>
      <c r="J96" s="88"/>
      <c r="K96" s="88"/>
      <c r="L96" s="72"/>
      <c r="M96" s="115"/>
    </row>
    <row r="97" spans="1:13" s="74" customFormat="1" ht="12">
      <c r="A97" s="88"/>
      <c r="B97" s="88"/>
      <c r="C97" s="88"/>
      <c r="D97" s="88"/>
      <c r="E97" s="88"/>
      <c r="F97" s="88"/>
      <c r="G97" s="88"/>
      <c r="H97" s="90"/>
      <c r="I97" s="88"/>
      <c r="J97" s="88"/>
      <c r="K97" s="116"/>
      <c r="L97" s="72"/>
      <c r="M97" s="115"/>
    </row>
  </sheetData>
  <sheetProtection selectLockedCells="1" selectUnlockedCells="1"/>
  <mergeCells count="83">
    <mergeCell ref="A1:M2"/>
    <mergeCell ref="C3:D7"/>
    <mergeCell ref="F7:G7"/>
    <mergeCell ref="A8:M9"/>
    <mergeCell ref="I10:K10"/>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9:G29"/>
    <mergeCell ref="C30:G30"/>
    <mergeCell ref="C31:G31"/>
    <mergeCell ref="C32:G32"/>
    <mergeCell ref="C33:G33"/>
    <mergeCell ref="C34:G34"/>
    <mergeCell ref="C35:G35"/>
    <mergeCell ref="C36:G36"/>
    <mergeCell ref="C37:G37"/>
    <mergeCell ref="C38:G38"/>
    <mergeCell ref="O38:P38"/>
    <mergeCell ref="C39:G39"/>
    <mergeCell ref="C40:G40"/>
    <mergeCell ref="C41:G41"/>
    <mergeCell ref="C42:G42"/>
    <mergeCell ref="C43:G43"/>
    <mergeCell ref="C45:G45"/>
    <mergeCell ref="C46:G46"/>
    <mergeCell ref="C47:G47"/>
    <mergeCell ref="C48:G48"/>
    <mergeCell ref="L48:L49"/>
    <mergeCell ref="C49:G49"/>
    <mergeCell ref="C50:G50"/>
    <mergeCell ref="C51:G51"/>
    <mergeCell ref="C52:G52"/>
    <mergeCell ref="C54:G54"/>
    <mergeCell ref="C55:G55"/>
    <mergeCell ref="C56:G56"/>
    <mergeCell ref="C57:G57"/>
    <mergeCell ref="C58:G58"/>
    <mergeCell ref="C59:G59"/>
    <mergeCell ref="O59:P59"/>
    <mergeCell ref="C60:G60"/>
    <mergeCell ref="C61:G61"/>
    <mergeCell ref="C62:G62"/>
    <mergeCell ref="C63:G63"/>
    <mergeCell ref="C65:G65"/>
    <mergeCell ref="C66:G66"/>
    <mergeCell ref="C67:G67"/>
    <mergeCell ref="C68:G68"/>
    <mergeCell ref="C69:G69"/>
    <mergeCell ref="C70:G70"/>
    <mergeCell ref="O70:Q70"/>
    <mergeCell ref="C71:G71"/>
    <mergeCell ref="C72:G72"/>
    <mergeCell ref="C73:G73"/>
    <mergeCell ref="C75:G75"/>
    <mergeCell ref="C76:G76"/>
    <mergeCell ref="C77:G77"/>
    <mergeCell ref="C79:G79"/>
    <mergeCell ref="C80:G80"/>
    <mergeCell ref="C81:G81"/>
    <mergeCell ref="C82:G82"/>
    <mergeCell ref="C83:G83"/>
    <mergeCell ref="N83:Q83"/>
    <mergeCell ref="C84:G84"/>
    <mergeCell ref="C86:G86"/>
    <mergeCell ref="C87:G87"/>
    <mergeCell ref="C88:G88"/>
    <mergeCell ref="A90:J90"/>
    <mergeCell ref="A91:J91"/>
    <mergeCell ref="A92:J92"/>
  </mergeCells>
  <printOptions/>
  <pageMargins left="0.39375" right="0.39375" top="0.5118055555555555" bottom="0.39375" header="0.5118055555555555" footer="0.5118055555555555"/>
  <pageSetup fitToHeight="0" fitToWidth="1" horizontalDpi="300" verticalDpi="300" orientation="portrait" paperSize="9"/>
  <headerFooter alignWithMargins="0">
    <oddHeader>&amp;R&amp;8Página &amp;P de &amp;N</oddHeader>
  </headerFooter>
  <drawing r:id="rId1"/>
</worksheet>
</file>

<file path=xl/worksheets/sheet2.xml><?xml version="1.0" encoding="utf-8"?>
<worksheet xmlns="http://schemas.openxmlformats.org/spreadsheetml/2006/main" xmlns:r="http://schemas.openxmlformats.org/officeDocument/2006/relationships">
  <dimension ref="A1:Q53"/>
  <sheetViews>
    <sheetView workbookViewId="0" topLeftCell="A1">
      <selection activeCell="N9" sqref="N9"/>
    </sheetView>
  </sheetViews>
  <sheetFormatPr defaultColWidth="9.140625" defaultRowHeight="12.75"/>
  <cols>
    <col min="1" max="1" width="5.7109375" style="117" customWidth="1"/>
    <col min="2" max="2" width="6.7109375" style="117" customWidth="1"/>
    <col min="3" max="3" width="28.7109375" style="117" customWidth="1"/>
    <col min="4" max="4" width="6.7109375" style="117" customWidth="1"/>
    <col min="5" max="6" width="8.7109375" style="117" customWidth="1"/>
    <col min="7" max="7" width="9.8515625" style="117" customWidth="1"/>
    <col min="8" max="10" width="9.140625" style="117" customWidth="1"/>
    <col min="11" max="11" width="9.140625" style="118" customWidth="1"/>
    <col min="12" max="16384" width="9.140625" style="117" customWidth="1"/>
  </cols>
  <sheetData>
    <row r="1" spans="1:12" s="121" customFormat="1" ht="12.75" customHeight="1">
      <c r="A1" s="6" t="s">
        <v>304</v>
      </c>
      <c r="B1" s="6"/>
      <c r="C1" s="6"/>
      <c r="D1" s="6"/>
      <c r="E1" s="6"/>
      <c r="F1" s="6"/>
      <c r="G1" s="6"/>
      <c r="H1" s="6"/>
      <c r="I1" s="6"/>
      <c r="J1" s="6"/>
      <c r="K1" s="119"/>
      <c r="L1" s="120"/>
    </row>
    <row r="2" spans="1:12" s="121" customFormat="1" ht="12.75" customHeight="1">
      <c r="A2" s="6"/>
      <c r="B2" s="6"/>
      <c r="C2" s="6"/>
      <c r="D2" s="6"/>
      <c r="E2" s="6"/>
      <c r="F2" s="6"/>
      <c r="G2" s="6"/>
      <c r="H2" s="6"/>
      <c r="I2" s="6"/>
      <c r="J2" s="6"/>
      <c r="K2" s="119"/>
      <c r="L2" s="120"/>
    </row>
    <row r="3" spans="1:12" s="121" customFormat="1" ht="12.75">
      <c r="A3" s="6"/>
      <c r="B3" s="6"/>
      <c r="C3" s="6"/>
      <c r="D3" s="6"/>
      <c r="E3" s="6"/>
      <c r="F3" s="6"/>
      <c r="G3" s="6"/>
      <c r="H3" s="6"/>
      <c r="I3" s="6"/>
      <c r="J3" s="6"/>
      <c r="K3" s="122"/>
      <c r="L3" s="123"/>
    </row>
    <row r="4" spans="1:10" ht="12.75">
      <c r="A4" s="6"/>
      <c r="B4" s="6"/>
      <c r="C4" s="6"/>
      <c r="D4" s="6"/>
      <c r="E4" s="6"/>
      <c r="F4" s="6"/>
      <c r="G4" s="6"/>
      <c r="H4" s="6"/>
      <c r="I4" s="6"/>
      <c r="J4" s="6"/>
    </row>
    <row r="5" spans="1:11" s="126" customFormat="1" ht="15.75">
      <c r="A5" s="124" t="s">
        <v>305</v>
      </c>
      <c r="B5" s="124"/>
      <c r="C5" s="124"/>
      <c r="D5" s="124"/>
      <c r="E5" s="124"/>
      <c r="F5" s="124"/>
      <c r="G5" s="124"/>
      <c r="H5" s="124"/>
      <c r="I5" s="124"/>
      <c r="J5" s="124"/>
      <c r="K5" s="125"/>
    </row>
    <row r="6" spans="1:10" ht="13.5">
      <c r="A6" s="127"/>
      <c r="B6" s="128"/>
      <c r="C6" s="129"/>
      <c r="D6" s="127"/>
      <c r="E6" s="127"/>
      <c r="F6" s="127"/>
      <c r="G6" s="130"/>
      <c r="H6" s="127"/>
      <c r="I6" s="127"/>
      <c r="J6" s="127"/>
    </row>
    <row r="7" spans="1:10" ht="12.75" customHeight="1">
      <c r="A7" s="131" t="s">
        <v>144</v>
      </c>
      <c r="B7" s="131"/>
      <c r="C7" s="132" t="s">
        <v>145</v>
      </c>
      <c r="D7" s="132"/>
      <c r="E7" s="132"/>
      <c r="F7" s="132"/>
      <c r="G7" s="132"/>
      <c r="H7" s="132"/>
      <c r="I7" s="132"/>
      <c r="J7" s="132"/>
    </row>
    <row r="8" spans="1:10" ht="13.5">
      <c r="A8" s="131"/>
      <c r="B8" s="131"/>
      <c r="C8" s="132"/>
      <c r="D8" s="132"/>
      <c r="E8" s="132"/>
      <c r="F8" s="132"/>
      <c r="G8" s="132"/>
      <c r="H8" s="132"/>
      <c r="I8" s="132"/>
      <c r="J8" s="132"/>
    </row>
    <row r="9" spans="1:10" ht="12.75">
      <c r="A9" s="127" t="s">
        <v>306</v>
      </c>
      <c r="B9" s="128"/>
      <c r="C9" s="129"/>
      <c r="D9" s="127"/>
      <c r="E9" s="127"/>
      <c r="F9" s="127"/>
      <c r="G9" s="127"/>
      <c r="H9" s="127"/>
      <c r="I9" s="127"/>
      <c r="J9" s="127"/>
    </row>
    <row r="10" spans="1:10" ht="34.5" customHeight="1">
      <c r="A10" s="133" t="s">
        <v>307</v>
      </c>
      <c r="B10" s="133" t="s">
        <v>308</v>
      </c>
      <c r="C10" s="134" t="s">
        <v>309</v>
      </c>
      <c r="D10" s="133" t="s">
        <v>310</v>
      </c>
      <c r="E10" s="133" t="s">
        <v>311</v>
      </c>
      <c r="F10" s="133" t="s">
        <v>312</v>
      </c>
      <c r="G10" s="133" t="s">
        <v>313</v>
      </c>
      <c r="H10" s="133" t="s">
        <v>147</v>
      </c>
      <c r="I10" s="133" t="s">
        <v>314</v>
      </c>
      <c r="J10" s="133" t="s">
        <v>315</v>
      </c>
    </row>
    <row r="11" spans="1:17" ht="45" customHeight="1">
      <c r="A11" s="135">
        <v>1</v>
      </c>
      <c r="B11" s="136">
        <v>5476</v>
      </c>
      <c r="C11" s="137" t="s">
        <v>316</v>
      </c>
      <c r="D11" s="138" t="s">
        <v>99</v>
      </c>
      <c r="E11" s="138">
        <v>1.9</v>
      </c>
      <c r="F11" s="139">
        <v>0</v>
      </c>
      <c r="G11" s="140">
        <v>555.17</v>
      </c>
      <c r="H11" s="135" t="s">
        <v>147</v>
      </c>
      <c r="I11" s="141">
        <v>44287</v>
      </c>
      <c r="J11" s="142">
        <f aca="true" t="shared" si="0" ref="J11:J14">ROUND((E11*G11)*(1+(F11*0.01)),2)</f>
        <v>1054.82</v>
      </c>
      <c r="L11" s="117">
        <v>0</v>
      </c>
      <c r="M11" s="117">
        <v>1</v>
      </c>
      <c r="N11" s="117">
        <v>2</v>
      </c>
      <c r="O11" s="117">
        <v>3</v>
      </c>
      <c r="P11" s="117">
        <v>4</v>
      </c>
      <c r="Q11" s="117">
        <v>5</v>
      </c>
    </row>
    <row r="12" spans="1:10" ht="45" customHeight="1">
      <c r="A12" s="143">
        <v>2</v>
      </c>
      <c r="B12" s="144" t="s">
        <v>317</v>
      </c>
      <c r="C12" s="145" t="s">
        <v>318</v>
      </c>
      <c r="D12" s="146" t="s">
        <v>99</v>
      </c>
      <c r="E12" s="146">
        <v>0.06</v>
      </c>
      <c r="F12" s="147">
        <v>0</v>
      </c>
      <c r="G12" s="148">
        <v>13.39</v>
      </c>
      <c r="H12" s="143" t="s">
        <v>319</v>
      </c>
      <c r="I12" s="149">
        <v>44287</v>
      </c>
      <c r="J12" s="150">
        <f t="shared" si="0"/>
        <v>0.8</v>
      </c>
    </row>
    <row r="13" spans="1:17" ht="45" customHeight="1">
      <c r="A13" s="143">
        <v>3</v>
      </c>
      <c r="B13" s="143">
        <v>20132</v>
      </c>
      <c r="C13" s="145" t="s">
        <v>320</v>
      </c>
      <c r="D13" s="146" t="s">
        <v>321</v>
      </c>
      <c r="E13" s="146">
        <v>4</v>
      </c>
      <c r="F13" s="147">
        <v>3</v>
      </c>
      <c r="G13" s="148">
        <v>14.34</v>
      </c>
      <c r="H13" s="143" t="s">
        <v>241</v>
      </c>
      <c r="I13" s="149">
        <v>44287</v>
      </c>
      <c r="J13" s="150">
        <f t="shared" si="0"/>
        <v>59.08</v>
      </c>
      <c r="L13" s="117" t="s">
        <v>322</v>
      </c>
      <c r="M13" s="117" t="s">
        <v>323</v>
      </c>
      <c r="N13" s="117" t="s">
        <v>324</v>
      </c>
      <c r="O13" s="117" t="s">
        <v>325</v>
      </c>
      <c r="P13" s="117" t="s">
        <v>326</v>
      </c>
      <c r="Q13" s="117" t="s">
        <v>327</v>
      </c>
    </row>
    <row r="14" spans="1:10" ht="60" customHeight="1">
      <c r="A14" s="151">
        <v>4</v>
      </c>
      <c r="B14" s="151">
        <v>20045</v>
      </c>
      <c r="C14" s="152" t="s">
        <v>328</v>
      </c>
      <c r="D14" s="153" t="s">
        <v>321</v>
      </c>
      <c r="E14" s="153">
        <v>4</v>
      </c>
      <c r="F14" s="154">
        <v>3</v>
      </c>
      <c r="G14" s="155">
        <v>21.33</v>
      </c>
      <c r="H14" s="151" t="s">
        <v>241</v>
      </c>
      <c r="I14" s="156">
        <v>44287</v>
      </c>
      <c r="J14" s="157">
        <f t="shared" si="0"/>
        <v>87.88</v>
      </c>
    </row>
    <row r="15" spans="1:10" ht="12.75">
      <c r="A15" s="127"/>
      <c r="B15" s="128"/>
      <c r="C15" s="158" t="s">
        <v>329</v>
      </c>
      <c r="D15" s="159"/>
      <c r="E15" s="127"/>
      <c r="F15" s="127"/>
      <c r="G15" s="127"/>
      <c r="H15" s="127"/>
      <c r="I15" s="127"/>
      <c r="J15" s="160">
        <f>SUM(J11:J14)</f>
        <v>1202.58</v>
      </c>
    </row>
    <row r="16" spans="1:10" ht="12.75">
      <c r="A16" s="127"/>
      <c r="B16" s="128"/>
      <c r="C16" s="158"/>
      <c r="D16" s="159"/>
      <c r="E16" s="127"/>
      <c r="F16" s="127"/>
      <c r="G16" s="127"/>
      <c r="H16" s="127"/>
      <c r="I16" s="127"/>
      <c r="J16" s="160"/>
    </row>
    <row r="17" spans="1:10" ht="12.75">
      <c r="A17" s="127"/>
      <c r="B17" s="128"/>
      <c r="C17" s="158"/>
      <c r="D17" s="159"/>
      <c r="E17" s="127"/>
      <c r="F17" s="127"/>
      <c r="G17" s="127"/>
      <c r="H17" s="127"/>
      <c r="I17" s="127"/>
      <c r="J17" s="160"/>
    </row>
    <row r="18" s="118" customFormat="1" ht="13.5"/>
    <row r="19" spans="1:10" ht="12.75" customHeight="1">
      <c r="A19" s="131" t="s">
        <v>150</v>
      </c>
      <c r="B19" s="131"/>
      <c r="C19" s="132" t="s">
        <v>151</v>
      </c>
      <c r="D19" s="132"/>
      <c r="E19" s="132"/>
      <c r="F19" s="132"/>
      <c r="G19" s="132"/>
      <c r="H19" s="132"/>
      <c r="I19" s="132"/>
      <c r="J19" s="132"/>
    </row>
    <row r="20" spans="1:10" ht="12.75" customHeight="1">
      <c r="A20" s="131"/>
      <c r="B20" s="131"/>
      <c r="C20" s="132"/>
      <c r="D20" s="132"/>
      <c r="E20" s="132"/>
      <c r="F20" s="132"/>
      <c r="G20" s="132"/>
      <c r="H20" s="132"/>
      <c r="I20" s="132"/>
      <c r="J20" s="132"/>
    </row>
    <row r="21" spans="1:10" ht="12.75">
      <c r="A21" s="127" t="s">
        <v>306</v>
      </c>
      <c r="B21" s="128"/>
      <c r="C21" s="129"/>
      <c r="D21" s="127"/>
      <c r="E21" s="127"/>
      <c r="F21" s="127"/>
      <c r="G21" s="127"/>
      <c r="H21" s="127"/>
      <c r="I21" s="127"/>
      <c r="J21" s="127"/>
    </row>
    <row r="22" spans="1:10" ht="34.5" customHeight="1">
      <c r="A22" s="133" t="s">
        <v>307</v>
      </c>
      <c r="B22" s="133" t="s">
        <v>308</v>
      </c>
      <c r="C22" s="134" t="s">
        <v>309</v>
      </c>
      <c r="D22" s="133" t="s">
        <v>310</v>
      </c>
      <c r="E22" s="133" t="s">
        <v>311</v>
      </c>
      <c r="F22" s="133" t="s">
        <v>312</v>
      </c>
      <c r="G22" s="133" t="s">
        <v>313</v>
      </c>
      <c r="H22" s="133" t="s">
        <v>147</v>
      </c>
      <c r="I22" s="133" t="s">
        <v>314</v>
      </c>
      <c r="J22" s="133" t="s">
        <v>315</v>
      </c>
    </row>
    <row r="23" spans="1:10" ht="45" customHeight="1">
      <c r="A23" s="135">
        <v>1</v>
      </c>
      <c r="B23" s="136">
        <v>5476</v>
      </c>
      <c r="C23" s="137" t="s">
        <v>316</v>
      </c>
      <c r="D23" s="138" t="s">
        <v>99</v>
      </c>
      <c r="E23" s="138">
        <v>0.67</v>
      </c>
      <c r="F23" s="139">
        <v>0</v>
      </c>
      <c r="G23" s="140">
        <v>555.17</v>
      </c>
      <c r="H23" s="135" t="s">
        <v>147</v>
      </c>
      <c r="I23" s="141">
        <v>44287</v>
      </c>
      <c r="J23" s="142">
        <f aca="true" t="shared" si="1" ref="J23:J26">ROUND((E23*G23)*(1+(F23*0.01)),2)</f>
        <v>371.96</v>
      </c>
    </row>
    <row r="24" spans="1:10" ht="45" customHeight="1">
      <c r="A24" s="143">
        <v>2</v>
      </c>
      <c r="B24" s="144" t="s">
        <v>317</v>
      </c>
      <c r="C24" s="145" t="s">
        <v>318</v>
      </c>
      <c r="D24" s="146" t="s">
        <v>99</v>
      </c>
      <c r="E24" s="146">
        <v>0.06</v>
      </c>
      <c r="F24" s="147">
        <v>0</v>
      </c>
      <c r="G24" s="148">
        <v>13.39</v>
      </c>
      <c r="H24" s="143" t="s">
        <v>319</v>
      </c>
      <c r="I24" s="149">
        <v>44287</v>
      </c>
      <c r="J24" s="150">
        <f t="shared" si="1"/>
        <v>0.8</v>
      </c>
    </row>
    <row r="25" spans="1:17" ht="60" customHeight="1">
      <c r="A25" s="143">
        <v>3</v>
      </c>
      <c r="B25" s="143">
        <v>20132</v>
      </c>
      <c r="C25" s="145" t="s">
        <v>330</v>
      </c>
      <c r="D25" s="146" t="s">
        <v>321</v>
      </c>
      <c r="E25" s="146">
        <v>4</v>
      </c>
      <c r="F25" s="147">
        <v>3</v>
      </c>
      <c r="G25" s="148">
        <v>14.34</v>
      </c>
      <c r="H25" s="143" t="s">
        <v>241</v>
      </c>
      <c r="I25" s="149">
        <v>44287</v>
      </c>
      <c r="J25" s="150">
        <f t="shared" si="1"/>
        <v>59.08</v>
      </c>
      <c r="Q25" s="117" t="s">
        <v>331</v>
      </c>
    </row>
    <row r="26" spans="1:10" ht="75" customHeight="1">
      <c r="A26" s="151">
        <v>4</v>
      </c>
      <c r="B26" s="151">
        <v>20045</v>
      </c>
      <c r="C26" s="152" t="s">
        <v>332</v>
      </c>
      <c r="D26" s="153" t="s">
        <v>321</v>
      </c>
      <c r="E26" s="153">
        <v>4</v>
      </c>
      <c r="F26" s="154">
        <v>3</v>
      </c>
      <c r="G26" s="155">
        <v>21.33</v>
      </c>
      <c r="H26" s="151" t="s">
        <v>241</v>
      </c>
      <c r="I26" s="156">
        <v>44287</v>
      </c>
      <c r="J26" s="157">
        <f t="shared" si="1"/>
        <v>87.88</v>
      </c>
    </row>
    <row r="27" spans="1:10" ht="12.75">
      <c r="A27" s="127"/>
      <c r="B27" s="128"/>
      <c r="C27" s="158" t="s">
        <v>329</v>
      </c>
      <c r="D27" s="159"/>
      <c r="E27" s="127"/>
      <c r="F27" s="127"/>
      <c r="G27" s="127"/>
      <c r="H27" s="127"/>
      <c r="I27" s="127"/>
      <c r="J27" s="160">
        <f>SUM(J23:J26)</f>
        <v>519.72</v>
      </c>
    </row>
    <row r="28" spans="1:10" ht="12.75">
      <c r="A28" s="127"/>
      <c r="B28" s="128"/>
      <c r="C28" s="158"/>
      <c r="D28" s="159"/>
      <c r="E28" s="127"/>
      <c r="F28" s="127"/>
      <c r="G28" s="127"/>
      <c r="H28" s="127"/>
      <c r="I28" s="127"/>
      <c r="J28" s="160"/>
    </row>
    <row r="29" spans="1:10" ht="12.75">
      <c r="A29" s="127"/>
      <c r="B29" s="128"/>
      <c r="C29" s="158"/>
      <c r="D29" s="159"/>
      <c r="E29" s="127"/>
      <c r="F29" s="127"/>
      <c r="G29" s="127"/>
      <c r="H29" s="127"/>
      <c r="I29" s="127"/>
      <c r="J29" s="160"/>
    </row>
    <row r="30" s="118" customFormat="1" ht="13.5"/>
    <row r="31" spans="1:11" ht="12.75" customHeight="1">
      <c r="A31" s="131" t="s">
        <v>82</v>
      </c>
      <c r="B31" s="131"/>
      <c r="C31" s="132" t="s">
        <v>83</v>
      </c>
      <c r="D31" s="132"/>
      <c r="E31" s="132"/>
      <c r="F31" s="132"/>
      <c r="G31" s="132"/>
      <c r="H31" s="132"/>
      <c r="I31" s="132"/>
      <c r="J31" s="132"/>
      <c r="K31" s="161"/>
    </row>
    <row r="32" spans="1:10" ht="12.75" customHeight="1">
      <c r="A32" s="131" t="s">
        <v>333</v>
      </c>
      <c r="B32" s="131"/>
      <c r="C32" s="132"/>
      <c r="D32" s="132"/>
      <c r="E32" s="132"/>
      <c r="F32" s="132"/>
      <c r="G32" s="132"/>
      <c r="H32" s="132"/>
      <c r="I32" s="132"/>
      <c r="J32" s="132"/>
    </row>
    <row r="33" spans="1:15" ht="12.75">
      <c r="A33" s="127" t="s">
        <v>306</v>
      </c>
      <c r="B33" s="128"/>
      <c r="C33" s="129"/>
      <c r="D33" s="127"/>
      <c r="E33" s="127"/>
      <c r="F33" s="127"/>
      <c r="G33" s="127"/>
      <c r="H33" s="127"/>
      <c r="I33" s="127"/>
      <c r="J33" s="127"/>
      <c r="L33" s="162" t="s">
        <v>334</v>
      </c>
      <c r="M33" s="162"/>
      <c r="N33" s="162"/>
      <c r="O33" s="162"/>
    </row>
    <row r="34" spans="1:15" ht="34.5" customHeight="1">
      <c r="A34" s="133" t="s">
        <v>307</v>
      </c>
      <c r="B34" s="133" t="s">
        <v>308</v>
      </c>
      <c r="C34" s="134" t="s">
        <v>309</v>
      </c>
      <c r="D34" s="133" t="s">
        <v>310</v>
      </c>
      <c r="E34" s="133" t="s">
        <v>311</v>
      </c>
      <c r="F34" s="133" t="s">
        <v>312</v>
      </c>
      <c r="G34" s="133" t="s">
        <v>313</v>
      </c>
      <c r="H34" s="133" t="s">
        <v>147</v>
      </c>
      <c r="I34" s="133" t="s">
        <v>314</v>
      </c>
      <c r="J34" s="133" t="s">
        <v>315</v>
      </c>
      <c r="L34" s="163" t="s">
        <v>335</v>
      </c>
      <c r="M34" s="163" t="s">
        <v>336</v>
      </c>
      <c r="O34" s="163" t="s">
        <v>315</v>
      </c>
    </row>
    <row r="35" spans="1:15" ht="45" customHeight="1">
      <c r="A35" s="135">
        <v>1</v>
      </c>
      <c r="B35" s="136">
        <v>20076</v>
      </c>
      <c r="C35" s="137" t="s">
        <v>337</v>
      </c>
      <c r="D35" s="138" t="s">
        <v>321</v>
      </c>
      <c r="E35" s="138">
        <v>0.97</v>
      </c>
      <c r="F35" s="139">
        <v>5</v>
      </c>
      <c r="G35" s="140">
        <v>19.81</v>
      </c>
      <c r="H35" s="135" t="s">
        <v>241</v>
      </c>
      <c r="I35" s="141">
        <v>44287</v>
      </c>
      <c r="J35" s="142">
        <f aca="true" t="shared" si="2" ref="J35:J40">ROUND((E35*G35)*(1+(F35*0.01)),2)</f>
        <v>20.18</v>
      </c>
      <c r="L35" s="164">
        <v>0.35</v>
      </c>
      <c r="M35" s="164">
        <v>0.62</v>
      </c>
      <c r="O35" s="164">
        <f aca="true" t="shared" si="3" ref="O35:O40">L35+M35</f>
        <v>0.97</v>
      </c>
    </row>
    <row r="36" spans="1:15" ht="45" customHeight="1">
      <c r="A36" s="143">
        <v>2</v>
      </c>
      <c r="B36" s="143">
        <v>20132</v>
      </c>
      <c r="C36" s="145" t="s">
        <v>320</v>
      </c>
      <c r="D36" s="146" t="s">
        <v>321</v>
      </c>
      <c r="E36" s="146">
        <v>1.39</v>
      </c>
      <c r="F36" s="147">
        <v>5</v>
      </c>
      <c r="G36" s="148">
        <v>14.34</v>
      </c>
      <c r="H36" s="143" t="s">
        <v>241</v>
      </c>
      <c r="I36" s="149">
        <v>44287</v>
      </c>
      <c r="J36" s="150">
        <f t="shared" si="2"/>
        <v>20.93</v>
      </c>
      <c r="L36" s="164">
        <v>0.29</v>
      </c>
      <c r="M36" s="164">
        <v>1.1</v>
      </c>
      <c r="O36" s="164">
        <f t="shared" si="3"/>
        <v>1.3900000000000001</v>
      </c>
    </row>
    <row r="37" spans="1:15" ht="30" customHeight="1">
      <c r="A37" s="143">
        <v>3</v>
      </c>
      <c r="B37" s="143">
        <v>209</v>
      </c>
      <c r="C37" s="145" t="s">
        <v>338</v>
      </c>
      <c r="D37" s="146" t="s">
        <v>99</v>
      </c>
      <c r="E37" s="146">
        <v>9.297</v>
      </c>
      <c r="F37" s="147">
        <v>0</v>
      </c>
      <c r="G37" s="148">
        <v>0.48</v>
      </c>
      <c r="H37" s="143" t="s">
        <v>319</v>
      </c>
      <c r="I37" s="149">
        <v>44287</v>
      </c>
      <c r="J37" s="150">
        <f t="shared" si="2"/>
        <v>4.46</v>
      </c>
      <c r="L37" s="164">
        <v>1.11</v>
      </c>
      <c r="M37" s="164">
        <v>8.187</v>
      </c>
      <c r="O37" s="164">
        <f t="shared" si="3"/>
        <v>9.296999999999999</v>
      </c>
    </row>
    <row r="38" spans="1:15" ht="30" customHeight="1">
      <c r="A38" s="143">
        <v>4</v>
      </c>
      <c r="B38" s="143">
        <v>2824</v>
      </c>
      <c r="C38" s="145" t="s">
        <v>339</v>
      </c>
      <c r="D38" s="146" t="s">
        <v>99</v>
      </c>
      <c r="E38" s="146">
        <v>0.012</v>
      </c>
      <c r="F38" s="147">
        <v>0</v>
      </c>
      <c r="G38" s="148">
        <v>85</v>
      </c>
      <c r="H38" s="143" t="s">
        <v>340</v>
      </c>
      <c r="I38" s="149">
        <v>44287</v>
      </c>
      <c r="J38" s="150">
        <f t="shared" si="2"/>
        <v>1.02</v>
      </c>
      <c r="L38" s="164">
        <v>0.012</v>
      </c>
      <c r="M38" s="164"/>
      <c r="O38" s="164">
        <f t="shared" si="3"/>
        <v>0.012</v>
      </c>
    </row>
    <row r="39" spans="1:15" ht="30" customHeight="1">
      <c r="A39" s="143">
        <v>5</v>
      </c>
      <c r="B39" s="143">
        <v>1</v>
      </c>
      <c r="C39" s="145" t="s">
        <v>341</v>
      </c>
      <c r="D39" s="146" t="s">
        <v>99</v>
      </c>
      <c r="E39" s="146">
        <v>0.011</v>
      </c>
      <c r="F39" s="147">
        <v>0</v>
      </c>
      <c r="G39" s="148">
        <v>75</v>
      </c>
      <c r="H39" s="143" t="s">
        <v>340</v>
      </c>
      <c r="I39" s="149">
        <v>44287</v>
      </c>
      <c r="J39" s="150">
        <f t="shared" si="2"/>
        <v>0.83</v>
      </c>
      <c r="L39" s="164"/>
      <c r="M39" s="164">
        <v>0.011</v>
      </c>
      <c r="O39" s="164">
        <f t="shared" si="3"/>
        <v>0.011</v>
      </c>
    </row>
    <row r="40" spans="1:15" ht="30" customHeight="1">
      <c r="A40" s="165">
        <v>6</v>
      </c>
      <c r="B40" s="165">
        <v>519</v>
      </c>
      <c r="C40" s="166" t="s">
        <v>342</v>
      </c>
      <c r="D40" s="167" t="s">
        <v>99</v>
      </c>
      <c r="E40" s="167">
        <v>0.014</v>
      </c>
      <c r="F40" s="168">
        <v>0</v>
      </c>
      <c r="G40" s="169">
        <v>55.43</v>
      </c>
      <c r="H40" s="165" t="s">
        <v>340</v>
      </c>
      <c r="I40" s="170">
        <v>44287</v>
      </c>
      <c r="J40" s="171">
        <f t="shared" si="2"/>
        <v>0.78</v>
      </c>
      <c r="L40" s="164"/>
      <c r="M40" s="164">
        <v>0.014</v>
      </c>
      <c r="O40" s="164">
        <f t="shared" si="3"/>
        <v>0.014</v>
      </c>
    </row>
    <row r="41" spans="1:10" ht="12.75">
      <c r="A41" s="127"/>
      <c r="B41" s="128"/>
      <c r="C41" s="158" t="s">
        <v>343</v>
      </c>
      <c r="D41" s="159"/>
      <c r="E41" s="127"/>
      <c r="F41" s="127"/>
      <c r="G41" s="127"/>
      <c r="H41" s="127"/>
      <c r="I41" s="127"/>
      <c r="J41" s="160">
        <f>SUM(J35:J40)</f>
        <v>48.2</v>
      </c>
    </row>
    <row r="42" spans="1:10" ht="12.75">
      <c r="A42" s="127"/>
      <c r="B42" s="128"/>
      <c r="C42" s="158"/>
      <c r="D42" s="159"/>
      <c r="E42" s="127"/>
      <c r="F42" s="127"/>
      <c r="G42" s="127"/>
      <c r="H42" s="127"/>
      <c r="I42" s="127"/>
      <c r="J42" s="160"/>
    </row>
    <row r="43" spans="1:10" ht="12.75">
      <c r="A43" s="127"/>
      <c r="B43" s="128"/>
      <c r="C43" s="158"/>
      <c r="D43" s="159"/>
      <c r="E43" s="127"/>
      <c r="F43" s="127"/>
      <c r="G43" s="127"/>
      <c r="H43" s="127"/>
      <c r="I43" s="127"/>
      <c r="J43" s="160"/>
    </row>
    <row r="44" s="118" customFormat="1" ht="13.5"/>
    <row r="45" spans="1:10" ht="12.75" customHeight="1">
      <c r="A45" s="131" t="s">
        <v>106</v>
      </c>
      <c r="B45" s="131"/>
      <c r="C45" s="132" t="s">
        <v>107</v>
      </c>
      <c r="D45" s="132"/>
      <c r="E45" s="132"/>
      <c r="F45" s="132"/>
      <c r="G45" s="132"/>
      <c r="H45" s="132"/>
      <c r="I45" s="132"/>
      <c r="J45" s="132"/>
    </row>
    <row r="46" spans="1:10" ht="12.75" customHeight="1">
      <c r="A46" s="131"/>
      <c r="B46" s="131"/>
      <c r="C46" s="132"/>
      <c r="D46" s="132"/>
      <c r="E46" s="132"/>
      <c r="F46" s="132"/>
      <c r="G46" s="132"/>
      <c r="H46" s="132"/>
      <c r="I46" s="132"/>
      <c r="J46" s="132"/>
    </row>
    <row r="47" spans="1:10" ht="12.75">
      <c r="A47" s="127" t="s">
        <v>306</v>
      </c>
      <c r="B47" s="128"/>
      <c r="C47" s="129"/>
      <c r="D47" s="127"/>
      <c r="E47" s="127"/>
      <c r="F47" s="127"/>
      <c r="G47" s="127"/>
      <c r="H47" s="127"/>
      <c r="I47" s="127"/>
      <c r="J47" s="127"/>
    </row>
    <row r="48" spans="1:10" ht="34.5" customHeight="1">
      <c r="A48" s="133" t="s">
        <v>307</v>
      </c>
      <c r="B48" s="133" t="s">
        <v>308</v>
      </c>
      <c r="C48" s="134" t="s">
        <v>309</v>
      </c>
      <c r="D48" s="133" t="s">
        <v>310</v>
      </c>
      <c r="E48" s="133" t="s">
        <v>311</v>
      </c>
      <c r="F48" s="133" t="s">
        <v>312</v>
      </c>
      <c r="G48" s="133" t="s">
        <v>313</v>
      </c>
      <c r="H48" s="133" t="s">
        <v>147</v>
      </c>
      <c r="I48" s="133" t="s">
        <v>314</v>
      </c>
      <c r="J48" s="133" t="s">
        <v>315</v>
      </c>
    </row>
    <row r="49" spans="1:10" ht="45" customHeight="1">
      <c r="A49" s="135">
        <v>1</v>
      </c>
      <c r="B49" s="136" t="s">
        <v>317</v>
      </c>
      <c r="C49" s="137" t="s">
        <v>318</v>
      </c>
      <c r="D49" s="138" t="s">
        <v>99</v>
      </c>
      <c r="E49" s="172">
        <v>0.1</v>
      </c>
      <c r="F49" s="139" t="s">
        <v>344</v>
      </c>
      <c r="G49" s="140">
        <v>13.39</v>
      </c>
      <c r="H49" s="135" t="s">
        <v>319</v>
      </c>
      <c r="I49" s="141">
        <v>44287</v>
      </c>
      <c r="J49" s="142">
        <f aca="true" t="shared" si="4" ref="J49:J52">ROUND((E49*G49)*(1+(F49*0.01)),2)</f>
        <v>1.34</v>
      </c>
    </row>
    <row r="50" spans="1:10" ht="60" customHeight="1">
      <c r="A50" s="143">
        <v>2</v>
      </c>
      <c r="B50" s="144">
        <v>20045</v>
      </c>
      <c r="C50" s="145" t="s">
        <v>328</v>
      </c>
      <c r="D50" s="146" t="s">
        <v>321</v>
      </c>
      <c r="E50" s="173">
        <v>0.5</v>
      </c>
      <c r="F50" s="147" t="s">
        <v>345</v>
      </c>
      <c r="G50" s="148">
        <v>21.33</v>
      </c>
      <c r="H50" s="143" t="s">
        <v>241</v>
      </c>
      <c r="I50" s="149">
        <v>44287</v>
      </c>
      <c r="J50" s="150">
        <f t="shared" si="4"/>
        <v>10.98</v>
      </c>
    </row>
    <row r="51" spans="1:10" ht="60" customHeight="1">
      <c r="A51" s="143">
        <v>3</v>
      </c>
      <c r="B51" s="144">
        <v>20132</v>
      </c>
      <c r="C51" s="145" t="s">
        <v>330</v>
      </c>
      <c r="D51" s="146" t="s">
        <v>321</v>
      </c>
      <c r="E51" s="173">
        <v>1</v>
      </c>
      <c r="F51" s="147" t="s">
        <v>345</v>
      </c>
      <c r="G51" s="148">
        <v>14.34</v>
      </c>
      <c r="H51" s="143" t="s">
        <v>241</v>
      </c>
      <c r="I51" s="149">
        <v>44287</v>
      </c>
      <c r="J51" s="150">
        <f t="shared" si="4"/>
        <v>14.77</v>
      </c>
    </row>
    <row r="52" spans="1:10" ht="45" customHeight="1">
      <c r="A52" s="165">
        <v>5</v>
      </c>
      <c r="B52" s="174" t="s">
        <v>346</v>
      </c>
      <c r="C52" s="166" t="s">
        <v>347</v>
      </c>
      <c r="D52" s="167" t="s">
        <v>99</v>
      </c>
      <c r="E52" s="175">
        <v>1.24</v>
      </c>
      <c r="F52" s="168" t="s">
        <v>344</v>
      </c>
      <c r="G52" s="169">
        <v>164.8</v>
      </c>
      <c r="H52" s="165" t="s">
        <v>17</v>
      </c>
      <c r="I52" s="170">
        <v>44287</v>
      </c>
      <c r="J52" s="171">
        <f t="shared" si="4"/>
        <v>204.35</v>
      </c>
    </row>
    <row r="53" spans="1:10" ht="12.75">
      <c r="A53" s="127"/>
      <c r="B53" s="128"/>
      <c r="C53" s="158" t="s">
        <v>343</v>
      </c>
      <c r="D53" s="159"/>
      <c r="E53" s="127"/>
      <c r="F53" s="127"/>
      <c r="G53" s="127"/>
      <c r="H53" s="127"/>
      <c r="I53" s="127"/>
      <c r="J53" s="160">
        <f>SUM(J49:J52)</f>
        <v>231.44</v>
      </c>
    </row>
    <row r="54" s="162" customFormat="1" ht="12.75"/>
    <row r="55" s="162" customFormat="1" ht="12.75"/>
    <row r="56" s="162" customFormat="1" ht="12.75"/>
    <row r="57" s="162" customFormat="1" ht="12.75"/>
  </sheetData>
  <sheetProtection selectLockedCells="1" selectUnlockedCells="1"/>
  <mergeCells count="12">
    <mergeCell ref="A1:J4"/>
    <mergeCell ref="A5:J5"/>
    <mergeCell ref="A7:B8"/>
    <mergeCell ref="C7:J8"/>
    <mergeCell ref="A19:B20"/>
    <mergeCell ref="C19:J20"/>
    <mergeCell ref="A31:B32"/>
    <mergeCell ref="C31:J32"/>
    <mergeCell ref="L33:O33"/>
    <mergeCell ref="A45:B46"/>
    <mergeCell ref="C45:J46"/>
    <mergeCell ref="A54:IV57"/>
  </mergeCells>
  <printOptions/>
  <pageMargins left="0" right="0"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I22" sqref="I22"/>
    </sheetView>
  </sheetViews>
  <sheetFormatPr defaultColWidth="9.140625" defaultRowHeight="12.75"/>
  <cols>
    <col min="1" max="1" width="9.140625" style="176" customWidth="1"/>
    <col min="2" max="2" width="10.7109375" style="0" customWidth="1"/>
    <col min="3" max="3" width="35.7109375" style="0" customWidth="1"/>
    <col min="4" max="5" width="10.7109375" style="0" customWidth="1"/>
    <col min="6" max="10" width="9.140625" style="176" customWidth="1"/>
  </cols>
  <sheetData>
    <row r="1" spans="2:5" s="176" customFormat="1" ht="12.75">
      <c r="B1" s="177"/>
      <c r="C1" s="177"/>
      <c r="D1" s="177"/>
      <c r="E1" s="177"/>
    </row>
    <row r="2" spans="2:9" s="176" customFormat="1" ht="7.5" customHeight="1">
      <c r="B2" s="6" t="s">
        <v>348</v>
      </c>
      <c r="C2" s="6"/>
      <c r="D2" s="6"/>
      <c r="E2" s="6"/>
      <c r="F2" s="119"/>
      <c r="G2" s="119"/>
      <c r="H2" s="119"/>
      <c r="I2" s="119"/>
    </row>
    <row r="3" spans="2:9" s="176" customFormat="1" ht="7.5" customHeight="1">
      <c r="B3" s="6"/>
      <c r="C3" s="6"/>
      <c r="D3" s="6"/>
      <c r="E3" s="6"/>
      <c r="F3" s="119"/>
      <c r="G3" s="119"/>
      <c r="H3" s="119"/>
      <c r="I3" s="119"/>
    </row>
    <row r="4" spans="2:9" s="176" customFormat="1" ht="7.5" customHeight="1">
      <c r="B4" s="6"/>
      <c r="C4" s="6"/>
      <c r="D4" s="6"/>
      <c r="E4" s="6"/>
      <c r="F4" s="119"/>
      <c r="G4" s="119"/>
      <c r="H4" s="119"/>
      <c r="I4" s="119"/>
    </row>
    <row r="5" spans="2:5" s="176" customFormat="1" ht="7.5" customHeight="1">
      <c r="B5" s="6"/>
      <c r="C5" s="6"/>
      <c r="D5" s="6"/>
      <c r="E5" s="6"/>
    </row>
    <row r="6" spans="1:7" s="177" customFormat="1" ht="12.75" customHeight="1">
      <c r="A6" s="178"/>
      <c r="B6" s="179"/>
      <c r="C6" s="179"/>
      <c r="D6" s="179"/>
      <c r="E6" s="179"/>
      <c r="F6" s="180"/>
      <c r="G6" s="180"/>
    </row>
    <row r="7" spans="1:10" s="186" customFormat="1" ht="15.75" customHeight="1">
      <c r="A7" s="181"/>
      <c r="B7" s="182" t="s">
        <v>349</v>
      </c>
      <c r="C7" s="182"/>
      <c r="D7" s="183"/>
      <c r="E7" s="183"/>
      <c r="F7" s="184"/>
      <c r="G7" s="184"/>
      <c r="H7" s="185"/>
      <c r="I7" s="185"/>
      <c r="J7" s="185"/>
    </row>
    <row r="8" spans="1:7" s="191" customFormat="1" ht="13.5" customHeight="1">
      <c r="A8" s="187"/>
      <c r="B8" s="188"/>
      <c r="C8" s="188"/>
      <c r="D8" s="188"/>
      <c r="E8" s="188"/>
      <c r="F8" s="189"/>
      <c r="G8" s="190"/>
    </row>
    <row r="9" spans="1:10" s="197" customFormat="1" ht="15.75">
      <c r="A9" s="187"/>
      <c r="B9" s="192" t="s">
        <v>3</v>
      </c>
      <c r="C9" s="193" t="s">
        <v>350</v>
      </c>
      <c r="D9" s="194" t="s">
        <v>351</v>
      </c>
      <c r="E9" s="195" t="s">
        <v>351</v>
      </c>
      <c r="F9" s="196"/>
      <c r="G9" s="189"/>
      <c r="H9" s="191"/>
      <c r="I9" s="191"/>
      <c r="J9" s="191"/>
    </row>
    <row r="10" spans="1:10" s="197" customFormat="1" ht="16.5">
      <c r="A10" s="187"/>
      <c r="B10" s="192"/>
      <c r="C10" s="193"/>
      <c r="D10" s="198" t="s">
        <v>352</v>
      </c>
      <c r="E10" s="199" t="s">
        <v>353</v>
      </c>
      <c r="F10" s="196"/>
      <c r="G10" s="189"/>
      <c r="H10" s="191"/>
      <c r="I10" s="191"/>
      <c r="J10" s="191"/>
    </row>
    <row r="11" spans="1:10" s="197" customFormat="1" ht="15.75">
      <c r="A11" s="187"/>
      <c r="B11" s="200"/>
      <c r="C11" s="201"/>
      <c r="D11" s="202"/>
      <c r="E11" s="203"/>
      <c r="F11" s="196"/>
      <c r="G11" s="189"/>
      <c r="H11" s="191"/>
      <c r="I11" s="191"/>
      <c r="J11" s="191"/>
    </row>
    <row r="12" spans="1:10" s="197" customFormat="1" ht="15.75">
      <c r="A12" s="187"/>
      <c r="B12" s="204">
        <v>1</v>
      </c>
      <c r="C12" s="205" t="s">
        <v>354</v>
      </c>
      <c r="D12" s="206" t="s">
        <v>306</v>
      </c>
      <c r="E12" s="207">
        <v>3</v>
      </c>
      <c r="F12" s="196"/>
      <c r="G12" s="189"/>
      <c r="H12" s="191"/>
      <c r="I12" s="191"/>
      <c r="J12" s="191"/>
    </row>
    <row r="13" spans="1:10" s="197" customFormat="1" ht="15.75">
      <c r="A13" s="187"/>
      <c r="B13" s="208" t="s">
        <v>355</v>
      </c>
      <c r="C13" s="209" t="s">
        <v>356</v>
      </c>
      <c r="D13" s="210" t="s">
        <v>306</v>
      </c>
      <c r="E13" s="211" t="s">
        <v>306</v>
      </c>
      <c r="F13" s="196"/>
      <c r="G13" s="190"/>
      <c r="H13" s="191"/>
      <c r="I13" s="191"/>
      <c r="J13" s="191"/>
    </row>
    <row r="14" spans="1:10" s="197" customFormat="1" ht="15.75">
      <c r="A14" s="187"/>
      <c r="B14" s="208" t="s">
        <v>357</v>
      </c>
      <c r="C14" s="209" t="s">
        <v>358</v>
      </c>
      <c r="D14" s="210" t="s">
        <v>306</v>
      </c>
      <c r="E14" s="211" t="s">
        <v>306</v>
      </c>
      <c r="F14" s="196"/>
      <c r="G14" s="189"/>
      <c r="H14" s="191"/>
      <c r="I14" s="191"/>
      <c r="J14" s="191"/>
    </row>
    <row r="15" spans="1:10" s="197" customFormat="1" ht="15.75">
      <c r="A15" s="187"/>
      <c r="B15" s="208" t="s">
        <v>359</v>
      </c>
      <c r="C15" s="209" t="s">
        <v>360</v>
      </c>
      <c r="D15" s="210" t="s">
        <v>306</v>
      </c>
      <c r="E15" s="211" t="s">
        <v>306</v>
      </c>
      <c r="F15" s="196"/>
      <c r="G15" s="189"/>
      <c r="H15" s="191"/>
      <c r="I15" s="191"/>
      <c r="J15" s="191"/>
    </row>
    <row r="16" spans="1:10" s="197" customFormat="1" ht="15.75">
      <c r="A16" s="187"/>
      <c r="B16" s="212" t="s">
        <v>306</v>
      </c>
      <c r="C16" s="209" t="s">
        <v>306</v>
      </c>
      <c r="D16" s="210" t="s">
        <v>306</v>
      </c>
      <c r="E16" s="211" t="s">
        <v>306</v>
      </c>
      <c r="F16" s="196"/>
      <c r="G16" s="196"/>
      <c r="H16" s="191"/>
      <c r="I16" s="191"/>
      <c r="J16" s="191"/>
    </row>
    <row r="17" spans="1:10" s="197" customFormat="1" ht="15.75">
      <c r="A17" s="187"/>
      <c r="B17" s="204">
        <v>2</v>
      </c>
      <c r="C17" s="205" t="s">
        <v>361</v>
      </c>
      <c r="D17" s="213">
        <f>SUM(D18:D20)</f>
        <v>5.65</v>
      </c>
      <c r="E17" s="214">
        <f>ROUND(SUM(E18:E20),2)</f>
        <v>5.65</v>
      </c>
      <c r="F17" s="196"/>
      <c r="G17" s="190"/>
      <c r="H17" s="191"/>
      <c r="I17" s="191"/>
      <c r="J17" s="191"/>
    </row>
    <row r="18" spans="1:10" s="197" customFormat="1" ht="15.75">
      <c r="A18" s="187"/>
      <c r="B18" s="208" t="s">
        <v>362</v>
      </c>
      <c r="C18" s="215" t="s">
        <v>363</v>
      </c>
      <c r="D18" s="210">
        <v>2</v>
      </c>
      <c r="E18" s="211">
        <f aca="true" t="shared" si="0" ref="E18:E20">ROUND(D18*(1+($C$34/100)),2)</f>
        <v>2</v>
      </c>
      <c r="F18" s="196"/>
      <c r="G18" s="190"/>
      <c r="H18" s="191"/>
      <c r="I18" s="191"/>
      <c r="J18" s="191"/>
    </row>
    <row r="19" spans="1:10" s="197" customFormat="1" ht="15.75">
      <c r="A19" s="187"/>
      <c r="B19" s="208" t="s">
        <v>364</v>
      </c>
      <c r="C19" s="209" t="s">
        <v>365</v>
      </c>
      <c r="D19" s="210">
        <v>0.65</v>
      </c>
      <c r="E19" s="211">
        <f t="shared" si="0"/>
        <v>0.65</v>
      </c>
      <c r="F19" s="196"/>
      <c r="G19" s="190"/>
      <c r="H19" s="191"/>
      <c r="I19" s="191"/>
      <c r="J19" s="191"/>
    </row>
    <row r="20" spans="1:10" s="197" customFormat="1" ht="15.75">
      <c r="A20" s="187"/>
      <c r="B20" s="208" t="s">
        <v>366</v>
      </c>
      <c r="C20" s="209" t="s">
        <v>367</v>
      </c>
      <c r="D20" s="216">
        <v>3</v>
      </c>
      <c r="E20" s="211">
        <f t="shared" si="0"/>
        <v>3</v>
      </c>
      <c r="F20" s="196"/>
      <c r="G20" s="190"/>
      <c r="H20" s="191"/>
      <c r="I20" s="191"/>
      <c r="J20" s="191"/>
    </row>
    <row r="21" spans="1:10" s="197" customFormat="1" ht="15.75">
      <c r="A21" s="187"/>
      <c r="B21" s="212"/>
      <c r="C21" s="209"/>
      <c r="D21" s="210"/>
      <c r="E21" s="211"/>
      <c r="F21" s="196"/>
      <c r="G21" s="190"/>
      <c r="H21" s="191"/>
      <c r="I21" s="191"/>
      <c r="J21" s="191"/>
    </row>
    <row r="22" spans="1:10" s="197" customFormat="1" ht="15.75">
      <c r="A22" s="187"/>
      <c r="B22" s="204">
        <v>3</v>
      </c>
      <c r="C22" s="205" t="s">
        <v>368</v>
      </c>
      <c r="D22" s="217" t="s">
        <v>306</v>
      </c>
      <c r="E22" s="214">
        <f>SUM(E23:E25)</f>
        <v>1.77</v>
      </c>
      <c r="F22" s="196"/>
      <c r="G22" s="190"/>
      <c r="H22" s="191"/>
      <c r="I22" s="191"/>
      <c r="J22" s="191"/>
    </row>
    <row r="23" spans="1:10" s="197" customFormat="1" ht="15.75">
      <c r="A23" s="187"/>
      <c r="B23" s="208" t="s">
        <v>369</v>
      </c>
      <c r="C23" s="209" t="s">
        <v>370</v>
      </c>
      <c r="D23" s="210"/>
      <c r="E23" s="211">
        <v>0.4</v>
      </c>
      <c r="F23" s="196"/>
      <c r="G23" s="190"/>
      <c r="H23" s="191"/>
      <c r="I23" s="191"/>
      <c r="J23" s="191"/>
    </row>
    <row r="24" spans="1:10" s="197" customFormat="1" ht="15.75">
      <c r="A24" s="187"/>
      <c r="B24" s="208" t="s">
        <v>371</v>
      </c>
      <c r="C24" s="209" t="s">
        <v>372</v>
      </c>
      <c r="D24" s="210"/>
      <c r="E24" s="211">
        <v>0.97</v>
      </c>
      <c r="F24" s="196"/>
      <c r="G24" s="190"/>
      <c r="H24" s="191"/>
      <c r="I24" s="191"/>
      <c r="J24" s="191"/>
    </row>
    <row r="25" spans="1:10" s="197" customFormat="1" ht="15.75">
      <c r="A25" s="187"/>
      <c r="B25" s="208" t="s">
        <v>371</v>
      </c>
      <c r="C25" s="209" t="s">
        <v>373</v>
      </c>
      <c r="D25" s="210"/>
      <c r="E25" s="211">
        <v>0.4</v>
      </c>
      <c r="F25" s="196"/>
      <c r="G25" s="190"/>
      <c r="H25" s="191"/>
      <c r="I25" s="191"/>
      <c r="J25" s="191"/>
    </row>
    <row r="26" spans="1:10" s="197" customFormat="1" ht="15.75">
      <c r="A26" s="187"/>
      <c r="B26" s="212"/>
      <c r="C26" s="209"/>
      <c r="D26" s="210"/>
      <c r="E26" s="211"/>
      <c r="F26" s="196"/>
      <c r="G26" s="189"/>
      <c r="H26" s="191"/>
      <c r="I26" s="191"/>
      <c r="J26" s="191"/>
    </row>
    <row r="27" spans="1:10" s="197" customFormat="1" ht="15.75">
      <c r="A27" s="187"/>
      <c r="B27" s="204">
        <v>4</v>
      </c>
      <c r="C27" s="205" t="s">
        <v>374</v>
      </c>
      <c r="D27" s="217" t="s">
        <v>306</v>
      </c>
      <c r="E27" s="214">
        <v>0.59</v>
      </c>
      <c r="F27" s="196"/>
      <c r="G27" s="190"/>
      <c r="H27" s="191"/>
      <c r="I27" s="191"/>
      <c r="J27" s="191"/>
    </row>
    <row r="28" spans="1:10" s="197" customFormat="1" ht="15.75">
      <c r="A28" s="187"/>
      <c r="B28" s="212"/>
      <c r="C28" s="209"/>
      <c r="D28" s="210"/>
      <c r="E28" s="211"/>
      <c r="F28" s="187"/>
      <c r="G28" s="187"/>
      <c r="H28" s="191"/>
      <c r="I28" s="191"/>
      <c r="J28" s="191"/>
    </row>
    <row r="29" spans="1:10" s="197" customFormat="1" ht="15.75">
      <c r="A29" s="187"/>
      <c r="B29" s="204">
        <v>5</v>
      </c>
      <c r="C29" s="205" t="s">
        <v>375</v>
      </c>
      <c r="D29" s="218"/>
      <c r="E29" s="214">
        <v>6.16</v>
      </c>
      <c r="F29" s="219"/>
      <c r="G29" s="187"/>
      <c r="H29" s="191"/>
      <c r="I29" s="191"/>
      <c r="J29" s="191"/>
    </row>
    <row r="30" spans="1:10" s="197" customFormat="1" ht="16.5">
      <c r="A30" s="187"/>
      <c r="B30" s="212"/>
      <c r="C30" s="209"/>
      <c r="D30" s="220"/>
      <c r="E30" s="221"/>
      <c r="F30" s="187"/>
      <c r="G30" s="187"/>
      <c r="H30" s="191"/>
      <c r="I30" s="191"/>
      <c r="J30" s="191"/>
    </row>
    <row r="31" spans="1:10" s="197" customFormat="1" ht="16.5">
      <c r="A31" s="187"/>
      <c r="B31" s="222" t="s">
        <v>306</v>
      </c>
      <c r="C31" s="223" t="s">
        <v>376</v>
      </c>
      <c r="D31" s="224" t="s">
        <v>306</v>
      </c>
      <c r="E31" s="225">
        <f>ROUND((((1+(E12%+E23%+E24%+E25%))*(1+E27%)*(1+E29%)/(1-E17%))-(1))*100,2)</f>
        <v>18.58</v>
      </c>
      <c r="F31" s="187"/>
      <c r="G31" s="187"/>
      <c r="H31" s="191"/>
      <c r="I31" s="191"/>
      <c r="J31" s="191"/>
    </row>
    <row r="32" spans="1:7" s="191" customFormat="1" ht="12.75">
      <c r="A32" s="187"/>
      <c r="B32" s="226" t="s">
        <v>377</v>
      </c>
      <c r="C32" s="226"/>
      <c r="D32" s="226"/>
      <c r="E32" s="226"/>
      <c r="F32" s="219"/>
      <c r="G32" s="219"/>
    </row>
    <row r="33" spans="1:7" s="191" customFormat="1" ht="12.75">
      <c r="A33" s="187"/>
      <c r="B33" s="219"/>
      <c r="C33" s="219"/>
      <c r="D33" s="219"/>
      <c r="E33" s="219"/>
      <c r="F33" s="187"/>
      <c r="G33" s="187"/>
    </row>
    <row r="34" spans="1:7" s="230" customFormat="1" ht="18">
      <c r="A34" s="227"/>
      <c r="B34" s="228" t="s">
        <v>378</v>
      </c>
      <c r="C34" s="228"/>
      <c r="D34" s="229">
        <f>ROUND((((1+((E12+E22)/100))*(1+E27/100)*(1+E29/100))/(1-D17/100)-1)*100,2)</f>
        <v>18.58</v>
      </c>
      <c r="E34" s="227"/>
      <c r="F34" s="227"/>
      <c r="G34" s="227"/>
    </row>
    <row r="35" spans="2:5" s="118" customFormat="1" ht="12.75">
      <c r="B35" s="189" t="s">
        <v>306</v>
      </c>
      <c r="C35" s="189"/>
      <c r="D35" s="187"/>
      <c r="E35" s="187"/>
    </row>
    <row r="36" spans="2:5" s="125" customFormat="1" ht="15.75">
      <c r="B36" s="184" t="s">
        <v>379</v>
      </c>
      <c r="C36" s="184"/>
      <c r="D36" s="184"/>
      <c r="E36" s="184"/>
    </row>
    <row r="37" spans="2:5" s="176" customFormat="1" ht="12.75">
      <c r="B37" s="177"/>
      <c r="C37" s="177"/>
      <c r="D37" s="177"/>
      <c r="E37" s="177"/>
    </row>
    <row r="38" spans="2:5" s="176" customFormat="1" ht="12.75">
      <c r="B38" s="177"/>
      <c r="C38" s="177"/>
      <c r="D38" s="177"/>
      <c r="E38" s="177"/>
    </row>
    <row r="39" spans="2:5" s="176" customFormat="1" ht="12.75">
      <c r="B39" s="177"/>
      <c r="C39" s="177"/>
      <c r="D39" s="177"/>
      <c r="E39" s="177"/>
    </row>
    <row r="40" spans="2:5" s="176" customFormat="1" ht="12.75">
      <c r="B40" s="177"/>
      <c r="C40" s="177"/>
      <c r="D40" s="177"/>
      <c r="E40" s="177"/>
    </row>
    <row r="41" spans="2:5" s="176" customFormat="1" ht="12.75">
      <c r="B41" s="177"/>
      <c r="C41" s="177"/>
      <c r="D41" s="177"/>
      <c r="E41" s="177"/>
    </row>
    <row r="42" spans="2:5" s="176" customFormat="1" ht="12.75">
      <c r="B42" s="177"/>
      <c r="C42" s="177"/>
      <c r="D42" s="177"/>
      <c r="E42" s="177"/>
    </row>
    <row r="43" spans="2:5" s="176" customFormat="1" ht="12.75">
      <c r="B43" s="177"/>
      <c r="C43" s="177"/>
      <c r="D43" s="177"/>
      <c r="E43" s="177"/>
    </row>
    <row r="44" spans="2:5" s="176" customFormat="1" ht="12.75">
      <c r="B44" s="177"/>
      <c r="C44" s="177"/>
      <c r="D44" s="177"/>
      <c r="E44" s="177"/>
    </row>
    <row r="45" spans="2:5" s="176" customFormat="1" ht="12.75">
      <c r="B45" s="177"/>
      <c r="C45" s="177"/>
      <c r="D45" s="177"/>
      <c r="E45" s="177"/>
    </row>
    <row r="46" spans="2:5" s="176" customFormat="1" ht="12.75">
      <c r="B46" s="177"/>
      <c r="C46" s="177"/>
      <c r="D46" s="177"/>
      <c r="E46" s="177"/>
    </row>
    <row r="47" spans="2:5" s="176" customFormat="1" ht="12.75">
      <c r="B47" s="177"/>
      <c r="C47" s="177"/>
      <c r="D47" s="177"/>
      <c r="E47" s="177"/>
    </row>
    <row r="48" spans="2:5" s="176" customFormat="1" ht="12.75">
      <c r="B48" s="177"/>
      <c r="C48" s="177"/>
      <c r="D48" s="177"/>
      <c r="E48" s="177"/>
    </row>
    <row r="49" spans="2:5" s="176" customFormat="1" ht="12.75">
      <c r="B49" s="177"/>
      <c r="C49" s="177"/>
      <c r="D49" s="177"/>
      <c r="E49" s="177"/>
    </row>
  </sheetData>
  <sheetProtection selectLockedCells="1" selectUnlockedCells="1"/>
  <mergeCells count="7">
    <mergeCell ref="B2:E5"/>
    <mergeCell ref="B9:B10"/>
    <mergeCell ref="C9:C10"/>
    <mergeCell ref="B32:E32"/>
    <mergeCell ref="B34:C34"/>
    <mergeCell ref="B35:C35"/>
    <mergeCell ref="B36:E36"/>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U92"/>
  <sheetViews>
    <sheetView tabSelected="1" workbookViewId="0" topLeftCell="A43">
      <selection activeCell="B10" sqref="B10"/>
    </sheetView>
  </sheetViews>
  <sheetFormatPr defaultColWidth="9.140625" defaultRowHeight="12.75"/>
  <cols>
    <col min="1" max="1" width="3.8515625" style="0" customWidth="1"/>
    <col min="2" max="2" width="6.7109375" style="1" customWidth="1"/>
    <col min="3" max="3" width="9.7109375" style="1" customWidth="1"/>
    <col min="4" max="7" width="15.7109375" style="1" customWidth="1"/>
    <col min="8" max="8" width="14.140625" style="1" customWidth="1"/>
    <col min="9" max="9" width="7.57421875" style="2" customWidth="1"/>
    <col min="10" max="10" width="6.8515625" style="1" customWidth="1"/>
    <col min="11" max="11" width="8.7109375" style="1" hidden="1" customWidth="1"/>
    <col min="12" max="12" width="12.7109375" style="1" hidden="1" customWidth="1"/>
    <col min="13" max="13" width="1.57421875" style="3" customWidth="1"/>
    <col min="14" max="14" width="38.28125" style="231" customWidth="1"/>
    <col min="15" max="16384" width="9.140625" style="5" customWidth="1"/>
  </cols>
  <sheetData>
    <row r="1" spans="2:14" s="7" customFormat="1" ht="12.75" customHeight="1">
      <c r="B1" s="6"/>
      <c r="C1" s="6"/>
      <c r="D1" s="6"/>
      <c r="E1" s="6"/>
      <c r="F1" s="6"/>
      <c r="G1" s="6"/>
      <c r="H1" s="6"/>
      <c r="I1" s="6"/>
      <c r="J1" s="6"/>
      <c r="K1" s="6"/>
      <c r="L1" s="6"/>
      <c r="M1" s="6"/>
      <c r="N1" s="6"/>
    </row>
    <row r="2" spans="2:14" s="8" customFormat="1" ht="12.75" customHeight="1">
      <c r="B2" s="6"/>
      <c r="C2" s="6"/>
      <c r="D2" s="6"/>
      <c r="E2" s="6"/>
      <c r="F2" s="6"/>
      <c r="G2" s="6"/>
      <c r="H2" s="6"/>
      <c r="I2" s="6"/>
      <c r="J2" s="6"/>
      <c r="K2" s="6"/>
      <c r="L2" s="6"/>
      <c r="M2" s="6"/>
      <c r="N2" s="6"/>
    </row>
    <row r="3" spans="2:14" s="14" customFormat="1" ht="10.5" customHeight="1">
      <c r="B3" s="9"/>
      <c r="C3" s="10"/>
      <c r="D3" s="11"/>
      <c r="E3" s="11"/>
      <c r="F3" s="12"/>
      <c r="G3" s="12"/>
      <c r="H3" s="12"/>
      <c r="I3" s="13"/>
      <c r="K3" s="15"/>
      <c r="L3" s="15"/>
      <c r="M3" s="16"/>
      <c r="N3" s="232"/>
    </row>
    <row r="4" spans="2:14" s="16" customFormat="1" ht="10.5" customHeight="1">
      <c r="B4" s="9"/>
      <c r="C4" s="10"/>
      <c r="D4" s="11"/>
      <c r="E4" s="11"/>
      <c r="K4" s="15"/>
      <c r="L4" s="15"/>
      <c r="N4" s="232"/>
    </row>
    <row r="5" spans="2:14" s="16" customFormat="1" ht="10.5" customHeight="1">
      <c r="B5" s="9"/>
      <c r="C5" s="10"/>
      <c r="D5" s="11"/>
      <c r="E5" s="11"/>
      <c r="F5" s="12"/>
      <c r="G5" s="12"/>
      <c r="H5" s="12"/>
      <c r="I5" s="13"/>
      <c r="K5" s="15"/>
      <c r="L5" s="15"/>
      <c r="N5" s="232"/>
    </row>
    <row r="6" spans="2:14" s="16" customFormat="1" ht="10.5" customHeight="1">
      <c r="B6" s="9"/>
      <c r="C6" s="10"/>
      <c r="D6" s="11"/>
      <c r="E6" s="11"/>
      <c r="F6" s="12"/>
      <c r="G6" s="12"/>
      <c r="H6" s="12"/>
      <c r="I6" s="13"/>
      <c r="K6" s="15"/>
      <c r="L6" s="15"/>
      <c r="N6" s="232"/>
    </row>
    <row r="7" spans="4:14" s="17" customFormat="1" ht="15" customHeight="1">
      <c r="D7" s="11"/>
      <c r="E7" s="11"/>
      <c r="G7" s="18"/>
      <c r="H7" s="18"/>
      <c r="I7" s="18"/>
      <c r="K7" s="19"/>
      <c r="L7" s="19"/>
      <c r="N7" s="233"/>
    </row>
    <row r="8" spans="2:14" s="17" customFormat="1" ht="9.75" customHeight="1">
      <c r="B8" s="234"/>
      <c r="C8" s="20"/>
      <c r="D8" s="20"/>
      <c r="E8" s="20"/>
      <c r="F8" s="20"/>
      <c r="G8" s="20"/>
      <c r="H8" s="20"/>
      <c r="I8" s="20"/>
      <c r="J8" s="20"/>
      <c r="K8" s="20"/>
      <c r="L8" s="20"/>
      <c r="M8" s="20"/>
      <c r="N8" s="20"/>
    </row>
    <row r="9" spans="2:14" s="17" customFormat="1" ht="9.75" customHeight="1">
      <c r="B9" s="20"/>
      <c r="C9" s="20"/>
      <c r="D9" s="20"/>
      <c r="E9" s="20"/>
      <c r="F9" s="20"/>
      <c r="G9" s="20"/>
      <c r="H9" s="20"/>
      <c r="I9" s="20"/>
      <c r="J9" s="20"/>
      <c r="K9" s="20"/>
      <c r="L9" s="20"/>
      <c r="M9" s="20"/>
      <c r="N9" s="20"/>
    </row>
    <row r="10" spans="2:14" s="235" customFormat="1" ht="23.25" customHeight="1">
      <c r="B10" s="20" t="s">
        <v>1</v>
      </c>
      <c r="C10" s="20"/>
      <c r="D10" s="20"/>
      <c r="E10" s="20"/>
      <c r="F10" s="20"/>
      <c r="G10" s="20"/>
      <c r="H10" s="20"/>
      <c r="I10" s="20"/>
      <c r="J10" s="20"/>
      <c r="K10" s="20"/>
      <c r="L10" s="20"/>
      <c r="M10" s="20"/>
      <c r="N10" s="20"/>
    </row>
    <row r="11" spans="2:14" s="236" customFormat="1" ht="19.5" customHeight="1">
      <c r="B11" s="20"/>
      <c r="C11" s="20"/>
      <c r="D11" s="20"/>
      <c r="E11" s="20"/>
      <c r="F11" s="20"/>
      <c r="G11" s="20"/>
      <c r="H11" s="20"/>
      <c r="I11" s="20"/>
      <c r="J11" s="20"/>
      <c r="K11" s="20"/>
      <c r="L11" s="20"/>
      <c r="M11" s="20"/>
      <c r="N11" s="20"/>
    </row>
    <row r="12" spans="2:18" s="237" customFormat="1" ht="30" customHeight="1">
      <c r="B12" s="238" t="s">
        <v>10</v>
      </c>
      <c r="C12" s="239"/>
      <c r="D12" s="240" t="s">
        <v>11</v>
      </c>
      <c r="E12" s="240"/>
      <c r="F12" s="240"/>
      <c r="G12" s="240"/>
      <c r="H12" s="240"/>
      <c r="I12" s="241"/>
      <c r="J12" s="242"/>
      <c r="K12" s="241"/>
      <c r="L12" s="243">
        <f>SUM(L13:L27)</f>
        <v>39498.62999999999</v>
      </c>
      <c r="M12" s="7"/>
      <c r="N12" s="244" t="s">
        <v>12</v>
      </c>
      <c r="O12" s="245"/>
      <c r="P12" s="245"/>
      <c r="Q12" s="245"/>
      <c r="R12" s="245"/>
    </row>
    <row r="13" spans="2:14" s="246" customFormat="1" ht="30" customHeight="1">
      <c r="B13" s="247" t="s">
        <v>13</v>
      </c>
      <c r="C13" s="248" t="s">
        <v>14</v>
      </c>
      <c r="D13" s="249" t="s">
        <v>15</v>
      </c>
      <c r="E13" s="249" t="s">
        <v>16</v>
      </c>
      <c r="F13" s="249" t="s">
        <v>16</v>
      </c>
      <c r="G13" s="249" t="s">
        <v>16</v>
      </c>
      <c r="H13" s="249" t="s">
        <v>16</v>
      </c>
      <c r="I13" s="247" t="s">
        <v>17</v>
      </c>
      <c r="J13" s="250">
        <v>2</v>
      </c>
      <c r="K13" s="251">
        <v>180.82</v>
      </c>
      <c r="L13" s="251">
        <f aca="true" t="shared" si="0" ref="L13:L27">ROUND(J13*K13,2)</f>
        <v>361.64</v>
      </c>
      <c r="M13" s="7"/>
      <c r="N13" s="252" t="s">
        <v>18</v>
      </c>
    </row>
    <row r="14" spans="2:14" s="246" customFormat="1" ht="45" customHeight="1">
      <c r="B14" s="253" t="s">
        <v>19</v>
      </c>
      <c r="C14" s="254" t="s">
        <v>20</v>
      </c>
      <c r="D14" s="255" t="s">
        <v>21</v>
      </c>
      <c r="E14" s="255" t="s">
        <v>22</v>
      </c>
      <c r="F14" s="255" t="s">
        <v>22</v>
      </c>
      <c r="G14" s="255" t="s">
        <v>22</v>
      </c>
      <c r="H14" s="255" t="s">
        <v>22</v>
      </c>
      <c r="I14" s="253" t="s">
        <v>17</v>
      </c>
      <c r="J14" s="256">
        <f>ROUND(139*2,2)</f>
        <v>278</v>
      </c>
      <c r="K14" s="257">
        <v>19.41</v>
      </c>
      <c r="L14" s="257">
        <f t="shared" si="0"/>
        <v>5395.98</v>
      </c>
      <c r="M14" s="7"/>
      <c r="N14" s="258" t="s">
        <v>23</v>
      </c>
    </row>
    <row r="15" spans="2:14" s="246" customFormat="1" ht="30" customHeight="1">
      <c r="B15" s="253" t="s">
        <v>24</v>
      </c>
      <c r="C15" s="254" t="s">
        <v>25</v>
      </c>
      <c r="D15" s="255" t="s">
        <v>26</v>
      </c>
      <c r="E15" s="255" t="s">
        <v>22</v>
      </c>
      <c r="F15" s="255" t="s">
        <v>22</v>
      </c>
      <c r="G15" s="255" t="s">
        <v>22</v>
      </c>
      <c r="H15" s="255" t="s">
        <v>22</v>
      </c>
      <c r="I15" s="253" t="s">
        <v>17</v>
      </c>
      <c r="J15" s="256">
        <v>20</v>
      </c>
      <c r="K15" s="257">
        <v>373.4</v>
      </c>
      <c r="L15" s="257">
        <f t="shared" si="0"/>
        <v>7468</v>
      </c>
      <c r="M15" s="7"/>
      <c r="N15" s="258" t="s">
        <v>27</v>
      </c>
    </row>
    <row r="16" spans="2:15" s="246" customFormat="1" ht="15" customHeight="1">
      <c r="B16" s="253" t="s">
        <v>28</v>
      </c>
      <c r="C16" s="254" t="s">
        <v>29</v>
      </c>
      <c r="D16" s="255" t="s">
        <v>30</v>
      </c>
      <c r="E16" s="255" t="s">
        <v>31</v>
      </c>
      <c r="F16" s="255" t="s">
        <v>31</v>
      </c>
      <c r="G16" s="255" t="s">
        <v>31</v>
      </c>
      <c r="H16" s="255" t="s">
        <v>31</v>
      </c>
      <c r="I16" s="253" t="s">
        <v>32</v>
      </c>
      <c r="J16" s="256">
        <v>2</v>
      </c>
      <c r="K16" s="257">
        <v>2659.36</v>
      </c>
      <c r="L16" s="257">
        <f t="shared" si="0"/>
        <v>5318.72</v>
      </c>
      <c r="M16" s="7"/>
      <c r="N16" s="258" t="s">
        <v>33</v>
      </c>
      <c r="O16" s="259"/>
    </row>
    <row r="17" spans="2:15" s="246" customFormat="1" ht="15" customHeight="1">
      <c r="B17" s="253" t="s">
        <v>34</v>
      </c>
      <c r="C17" s="254" t="s">
        <v>35</v>
      </c>
      <c r="D17" s="255" t="s">
        <v>36</v>
      </c>
      <c r="E17" s="255" t="s">
        <v>31</v>
      </c>
      <c r="F17" s="255" t="s">
        <v>31</v>
      </c>
      <c r="G17" s="255" t="s">
        <v>31</v>
      </c>
      <c r="H17" s="255" t="s">
        <v>31</v>
      </c>
      <c r="I17" s="253" t="s">
        <v>32</v>
      </c>
      <c r="J17" s="256">
        <v>2</v>
      </c>
      <c r="K17" s="257">
        <v>5804.48</v>
      </c>
      <c r="L17" s="257">
        <f t="shared" si="0"/>
        <v>11608.96</v>
      </c>
      <c r="M17" s="7"/>
      <c r="N17" s="258" t="s">
        <v>33</v>
      </c>
      <c r="O17" s="259"/>
    </row>
    <row r="18" spans="2:14" s="246" customFormat="1" ht="45" customHeight="1">
      <c r="B18" s="260" t="s">
        <v>37</v>
      </c>
      <c r="C18" s="254" t="s">
        <v>38</v>
      </c>
      <c r="D18" s="255" t="s">
        <v>39</v>
      </c>
      <c r="E18" s="255"/>
      <c r="F18" s="255"/>
      <c r="G18" s="255"/>
      <c r="H18" s="255"/>
      <c r="I18" s="253" t="s">
        <v>40</v>
      </c>
      <c r="J18" s="256">
        <v>28.92</v>
      </c>
      <c r="K18" s="257">
        <v>27.99</v>
      </c>
      <c r="L18" s="257">
        <f t="shared" si="0"/>
        <v>809.47</v>
      </c>
      <c r="M18" s="7"/>
      <c r="N18" s="258" t="s">
        <v>41</v>
      </c>
    </row>
    <row r="19" spans="2:14" s="246" customFormat="1" ht="60" customHeight="1">
      <c r="B19" s="260" t="s">
        <v>42</v>
      </c>
      <c r="C19" s="254" t="s">
        <v>43</v>
      </c>
      <c r="D19" s="255" t="s">
        <v>44</v>
      </c>
      <c r="E19" s="255"/>
      <c r="F19" s="255"/>
      <c r="G19" s="255"/>
      <c r="H19" s="255"/>
      <c r="I19" s="253" t="s">
        <v>45</v>
      </c>
      <c r="J19" s="256">
        <f aca="true" t="shared" si="1" ref="J19:J20">ROUND(39.4*4*2,2)</f>
        <v>315.2</v>
      </c>
      <c r="K19" s="257">
        <v>12</v>
      </c>
      <c r="L19" s="257">
        <f t="shared" si="0"/>
        <v>3782.4</v>
      </c>
      <c r="M19" s="7"/>
      <c r="N19" s="258" t="s">
        <v>46</v>
      </c>
    </row>
    <row r="20" spans="2:14" s="246" customFormat="1" ht="30" customHeight="1">
      <c r="B20" s="260" t="s">
        <v>47</v>
      </c>
      <c r="C20" s="254" t="s">
        <v>48</v>
      </c>
      <c r="D20" s="255" t="s">
        <v>49</v>
      </c>
      <c r="E20" s="255"/>
      <c r="F20" s="255"/>
      <c r="G20" s="255"/>
      <c r="H20" s="255"/>
      <c r="I20" s="253" t="s">
        <v>17</v>
      </c>
      <c r="J20" s="256">
        <f t="shared" si="1"/>
        <v>315.2</v>
      </c>
      <c r="K20" s="257">
        <v>5.9</v>
      </c>
      <c r="L20" s="257">
        <f t="shared" si="0"/>
        <v>1859.68</v>
      </c>
      <c r="M20" s="7"/>
      <c r="N20" s="258" t="s">
        <v>50</v>
      </c>
    </row>
    <row r="21" spans="2:14" s="261" customFormat="1" ht="30" customHeight="1">
      <c r="B21" s="260" t="s">
        <v>51</v>
      </c>
      <c r="C21" s="254" t="s">
        <v>52</v>
      </c>
      <c r="D21" s="255" t="s">
        <v>53</v>
      </c>
      <c r="E21" s="255"/>
      <c r="F21" s="255"/>
      <c r="G21" s="255"/>
      <c r="H21" s="255"/>
      <c r="I21" s="260" t="s">
        <v>54</v>
      </c>
      <c r="J21" s="256">
        <f>ROUND(39.4*4*60,2)</f>
        <v>9456</v>
      </c>
      <c r="K21" s="262">
        <v>0.13</v>
      </c>
      <c r="L21" s="257">
        <f t="shared" si="0"/>
        <v>1229.28</v>
      </c>
      <c r="M21" s="263"/>
      <c r="N21" s="258" t="s">
        <v>55</v>
      </c>
    </row>
    <row r="22" spans="2:14" s="261" customFormat="1" ht="30" customHeight="1">
      <c r="B22" s="260" t="s">
        <v>56</v>
      </c>
      <c r="C22" s="254" t="s">
        <v>57</v>
      </c>
      <c r="D22" s="255" t="s">
        <v>58</v>
      </c>
      <c r="E22" s="255"/>
      <c r="F22" s="255"/>
      <c r="G22" s="255"/>
      <c r="H22" s="255"/>
      <c r="I22" s="260" t="s">
        <v>17</v>
      </c>
      <c r="J22" s="256">
        <f>ROUND(39.4*4,2)</f>
        <v>157.6</v>
      </c>
      <c r="K22" s="262">
        <v>0.67</v>
      </c>
      <c r="L22" s="257">
        <f t="shared" si="0"/>
        <v>105.59</v>
      </c>
      <c r="M22" s="263"/>
      <c r="N22" s="258" t="s">
        <v>59</v>
      </c>
    </row>
    <row r="23" spans="2:14" s="261" customFormat="1" ht="30" customHeight="1">
      <c r="B23" s="260" t="s">
        <v>60</v>
      </c>
      <c r="C23" s="264" t="s">
        <v>61</v>
      </c>
      <c r="D23" s="255" t="s">
        <v>62</v>
      </c>
      <c r="E23" s="255"/>
      <c r="F23" s="255"/>
      <c r="G23" s="255"/>
      <c r="H23" s="255"/>
      <c r="I23" s="260" t="s">
        <v>17</v>
      </c>
      <c r="J23" s="265">
        <f>ROUND(39.4*0.9,2)</f>
        <v>35.46</v>
      </c>
      <c r="K23" s="262">
        <v>0.98</v>
      </c>
      <c r="L23" s="257">
        <f t="shared" si="0"/>
        <v>34.75</v>
      </c>
      <c r="M23" s="263"/>
      <c r="N23" s="258" t="s">
        <v>63</v>
      </c>
    </row>
    <row r="24" spans="2:14" s="261" customFormat="1" ht="15" customHeight="1">
      <c r="B24" s="260" t="s">
        <v>64</v>
      </c>
      <c r="C24" s="254" t="s">
        <v>65</v>
      </c>
      <c r="D24" s="255" t="s">
        <v>66</v>
      </c>
      <c r="E24" s="255"/>
      <c r="F24" s="255"/>
      <c r="G24" s="255"/>
      <c r="H24" s="255"/>
      <c r="I24" s="260" t="s">
        <v>17</v>
      </c>
      <c r="J24" s="265">
        <f aca="true" t="shared" si="2" ref="J24:J25">ROUND(J29+J30,2)</f>
        <v>4.65</v>
      </c>
      <c r="K24" s="262">
        <v>7.38</v>
      </c>
      <c r="L24" s="257">
        <f t="shared" si="0"/>
        <v>34.32</v>
      </c>
      <c r="M24" s="263"/>
      <c r="N24" s="258" t="s">
        <v>67</v>
      </c>
    </row>
    <row r="25" spans="2:14" s="261" customFormat="1" ht="15" customHeight="1">
      <c r="B25" s="260" t="s">
        <v>68</v>
      </c>
      <c r="C25" s="254" t="s">
        <v>69</v>
      </c>
      <c r="D25" s="255" t="s">
        <v>70</v>
      </c>
      <c r="E25" s="255"/>
      <c r="F25" s="255"/>
      <c r="G25" s="255"/>
      <c r="H25" s="255"/>
      <c r="I25" s="260" t="s">
        <v>17</v>
      </c>
      <c r="J25" s="265">
        <f t="shared" si="2"/>
        <v>13.65</v>
      </c>
      <c r="K25" s="262">
        <v>22.15</v>
      </c>
      <c r="L25" s="257">
        <f t="shared" si="0"/>
        <v>302.35</v>
      </c>
      <c r="M25" s="263"/>
      <c r="N25" s="258" t="s">
        <v>71</v>
      </c>
    </row>
    <row r="26" spans="2:14" s="261" customFormat="1" ht="60" customHeight="1">
      <c r="B26" s="260" t="s">
        <v>72</v>
      </c>
      <c r="C26" s="254" t="s">
        <v>73</v>
      </c>
      <c r="D26" s="255" t="s">
        <v>74</v>
      </c>
      <c r="E26" s="255"/>
      <c r="F26" s="255"/>
      <c r="G26" s="255"/>
      <c r="H26" s="255"/>
      <c r="I26" s="260" t="s">
        <v>17</v>
      </c>
      <c r="J26" s="265">
        <f>ROUND((5.75*4)+(2.65*4.35)+(2.05*0.9)+(1.9*2.95)+(2.5*4.2)+(5*0.9),2)</f>
        <v>56.98</v>
      </c>
      <c r="K26" s="262">
        <v>4.43</v>
      </c>
      <c r="L26" s="257">
        <f t="shared" si="0"/>
        <v>252.42</v>
      </c>
      <c r="M26" s="263"/>
      <c r="N26" s="258" t="s">
        <v>75</v>
      </c>
    </row>
    <row r="27" spans="2:14" s="261" customFormat="1" ht="45" customHeight="1">
      <c r="B27" s="260" t="s">
        <v>72</v>
      </c>
      <c r="C27" s="254" t="s">
        <v>76</v>
      </c>
      <c r="D27" s="255" t="s">
        <v>77</v>
      </c>
      <c r="E27" s="255"/>
      <c r="F27" s="255"/>
      <c r="G27" s="255"/>
      <c r="H27" s="255"/>
      <c r="I27" s="260" t="s">
        <v>17</v>
      </c>
      <c r="J27" s="265">
        <f>ROUND((5.75*4)+(2.65*4.35)+(2.05*0.9),2)</f>
        <v>36.37</v>
      </c>
      <c r="K27" s="262">
        <v>25.71</v>
      </c>
      <c r="L27" s="257">
        <f t="shared" si="0"/>
        <v>935.07</v>
      </c>
      <c r="M27" s="263"/>
      <c r="N27" s="258" t="s">
        <v>78</v>
      </c>
    </row>
    <row r="28" spans="2:14" s="237" customFormat="1" ht="9.75" customHeight="1">
      <c r="B28" s="266"/>
      <c r="C28" s="266"/>
      <c r="D28" s="267"/>
      <c r="E28" s="268"/>
      <c r="F28" s="268"/>
      <c r="G28" s="268"/>
      <c r="H28" s="268"/>
      <c r="I28" s="266"/>
      <c r="J28" s="266"/>
      <c r="K28" s="266"/>
      <c r="L28" s="266"/>
      <c r="M28" s="7"/>
      <c r="N28" s="269"/>
    </row>
    <row r="29" spans="2:14" s="237" customFormat="1" ht="30" customHeight="1">
      <c r="B29" s="238" t="s">
        <v>79</v>
      </c>
      <c r="C29" s="239"/>
      <c r="D29" s="270" t="s">
        <v>80</v>
      </c>
      <c r="E29" s="270"/>
      <c r="F29" s="270"/>
      <c r="G29" s="270"/>
      <c r="H29" s="270"/>
      <c r="I29" s="241"/>
      <c r="J29" s="242"/>
      <c r="K29" s="241"/>
      <c r="L29" s="243">
        <f>SUM(L30:L43)</f>
        <v>6828.120000000001</v>
      </c>
      <c r="M29" s="7"/>
      <c r="N29" s="269"/>
    </row>
    <row r="30" spans="2:14" s="271" customFormat="1" ht="45" customHeight="1">
      <c r="B30" s="272" t="s">
        <v>81</v>
      </c>
      <c r="C30" s="254" t="s">
        <v>82</v>
      </c>
      <c r="D30" s="255" t="s">
        <v>83</v>
      </c>
      <c r="E30" s="255"/>
      <c r="F30" s="255"/>
      <c r="G30" s="255"/>
      <c r="H30" s="255"/>
      <c r="I30" s="272" t="s">
        <v>17</v>
      </c>
      <c r="J30" s="273">
        <f>ROUND(4.65*1,2)</f>
        <v>4.65</v>
      </c>
      <c r="K30" s="274">
        <v>48.2</v>
      </c>
      <c r="L30" s="274">
        <f aca="true" t="shared" si="3" ref="L30:L43">ROUND(J30*K30,2)</f>
        <v>224.13</v>
      </c>
      <c r="M30" s="7"/>
      <c r="N30" s="258" t="s">
        <v>84</v>
      </c>
    </row>
    <row r="31" spans="2:14" s="246" customFormat="1" ht="45" customHeight="1">
      <c r="B31" s="275" t="s">
        <v>85</v>
      </c>
      <c r="C31" s="254" t="s">
        <v>86</v>
      </c>
      <c r="D31" s="255" t="s">
        <v>87</v>
      </c>
      <c r="E31" s="255" t="s">
        <v>88</v>
      </c>
      <c r="F31" s="255" t="s">
        <v>88</v>
      </c>
      <c r="G31" s="255" t="s">
        <v>88</v>
      </c>
      <c r="H31" s="255" t="s">
        <v>88</v>
      </c>
      <c r="I31" s="253" t="s">
        <v>17</v>
      </c>
      <c r="J31" s="256">
        <f>ROUND(4.5*2,2)</f>
        <v>9</v>
      </c>
      <c r="K31" s="257">
        <v>28.29</v>
      </c>
      <c r="L31" s="257">
        <f t="shared" si="3"/>
        <v>254.61</v>
      </c>
      <c r="M31" s="7"/>
      <c r="N31" s="258" t="s">
        <v>89</v>
      </c>
    </row>
    <row r="32" spans="2:14" s="246" customFormat="1" ht="60" customHeight="1">
      <c r="B32" s="275" t="s">
        <v>90</v>
      </c>
      <c r="C32" s="254" t="s">
        <v>91</v>
      </c>
      <c r="D32" s="255" t="s">
        <v>92</v>
      </c>
      <c r="E32" s="255" t="s">
        <v>93</v>
      </c>
      <c r="F32" s="255" t="s">
        <v>93</v>
      </c>
      <c r="G32" s="255" t="s">
        <v>93</v>
      </c>
      <c r="H32" s="255" t="s">
        <v>93</v>
      </c>
      <c r="I32" s="253" t="s">
        <v>17</v>
      </c>
      <c r="J32" s="256">
        <f>ROUND(0.3*0.3*4,2)</f>
        <v>0.36</v>
      </c>
      <c r="K32" s="257">
        <v>81.21</v>
      </c>
      <c r="L32" s="257">
        <f t="shared" si="3"/>
        <v>29.24</v>
      </c>
      <c r="M32" s="7"/>
      <c r="N32" s="258" t="s">
        <v>94</v>
      </c>
    </row>
    <row r="33" spans="2:14" s="246" customFormat="1" ht="30" customHeight="1">
      <c r="B33" s="275" t="s">
        <v>95</v>
      </c>
      <c r="C33" s="254" t="s">
        <v>96</v>
      </c>
      <c r="D33" s="255" t="s">
        <v>97</v>
      </c>
      <c r="E33" s="255" t="s">
        <v>98</v>
      </c>
      <c r="F33" s="255" t="s">
        <v>98</v>
      </c>
      <c r="G33" s="255" t="s">
        <v>98</v>
      </c>
      <c r="H33" s="255" t="s">
        <v>98</v>
      </c>
      <c r="I33" s="253" t="s">
        <v>99</v>
      </c>
      <c r="J33" s="256">
        <f>ROUND(9.15+11.15+2.9,2)</f>
        <v>23.2</v>
      </c>
      <c r="K33" s="257">
        <v>22.07</v>
      </c>
      <c r="L33" s="257">
        <f t="shared" si="3"/>
        <v>512.02</v>
      </c>
      <c r="M33" s="7"/>
      <c r="N33" s="258" t="s">
        <v>100</v>
      </c>
    </row>
    <row r="34" spans="2:14" s="271" customFormat="1" ht="15" customHeight="1">
      <c r="B34" s="272" t="s">
        <v>101</v>
      </c>
      <c r="C34" s="254" t="s">
        <v>102</v>
      </c>
      <c r="D34" s="255" t="s">
        <v>103</v>
      </c>
      <c r="E34" s="255"/>
      <c r="F34" s="255"/>
      <c r="G34" s="255"/>
      <c r="H34" s="255"/>
      <c r="I34" s="272" t="s">
        <v>17</v>
      </c>
      <c r="J34" s="273">
        <f>ROUND(0.2*4.2,2)</f>
        <v>0.84</v>
      </c>
      <c r="K34" s="274">
        <v>5.53</v>
      </c>
      <c r="L34" s="274">
        <f t="shared" si="3"/>
        <v>4.65</v>
      </c>
      <c r="M34" s="7"/>
      <c r="N34" s="276" t="s">
        <v>104</v>
      </c>
    </row>
    <row r="35" spans="2:14" s="271" customFormat="1" ht="45" customHeight="1">
      <c r="B35" s="272" t="s">
        <v>105</v>
      </c>
      <c r="C35" s="254" t="s">
        <v>106</v>
      </c>
      <c r="D35" s="255" t="s">
        <v>107</v>
      </c>
      <c r="E35" s="255"/>
      <c r="F35" s="255"/>
      <c r="G35" s="255"/>
      <c r="H35" s="255"/>
      <c r="I35" s="272" t="s">
        <v>17</v>
      </c>
      <c r="J35" s="273">
        <f>ROUND(0.2*7.2,2)</f>
        <v>1.44</v>
      </c>
      <c r="K35" s="274">
        <v>231.44</v>
      </c>
      <c r="L35" s="274">
        <f t="shared" si="3"/>
        <v>333.27</v>
      </c>
      <c r="M35" s="7"/>
      <c r="N35" s="258" t="s">
        <v>108</v>
      </c>
    </row>
    <row r="36" spans="2:14" s="271" customFormat="1" ht="60" customHeight="1">
      <c r="B36" s="260" t="s">
        <v>109</v>
      </c>
      <c r="C36" s="254" t="s">
        <v>110</v>
      </c>
      <c r="D36" s="255" t="s">
        <v>111</v>
      </c>
      <c r="E36" s="255"/>
      <c r="F36" s="255"/>
      <c r="G36" s="255"/>
      <c r="H36" s="255"/>
      <c r="I36" s="272" t="s">
        <v>17</v>
      </c>
      <c r="J36" s="273">
        <f>ROUND(1.5*0.2,2)</f>
        <v>0.3</v>
      </c>
      <c r="K36" s="277">
        <v>60.19</v>
      </c>
      <c r="L36" s="274">
        <f t="shared" si="3"/>
        <v>18.06</v>
      </c>
      <c r="M36" s="7"/>
      <c r="N36" s="258" t="s">
        <v>112</v>
      </c>
    </row>
    <row r="37" spans="2:14" s="261" customFormat="1" ht="45" customHeight="1">
      <c r="B37" s="272" t="s">
        <v>113</v>
      </c>
      <c r="C37" s="254" t="s">
        <v>114</v>
      </c>
      <c r="D37" s="255" t="s">
        <v>115</v>
      </c>
      <c r="E37" s="255"/>
      <c r="F37" s="255"/>
      <c r="G37" s="255"/>
      <c r="H37" s="255"/>
      <c r="I37" s="260" t="s">
        <v>17</v>
      </c>
      <c r="J37" s="265">
        <f>ROUND((5.75*4)+(2.65*4.35)+(2.05*0.9),2)</f>
        <v>36.37</v>
      </c>
      <c r="K37" s="262">
        <v>56.78</v>
      </c>
      <c r="L37" s="257">
        <f t="shared" si="3"/>
        <v>2065.09</v>
      </c>
      <c r="M37" s="263"/>
      <c r="N37" s="258" t="s">
        <v>116</v>
      </c>
    </row>
    <row r="38" spans="2:17" s="271" customFormat="1" ht="45" customHeight="1">
      <c r="B38" s="275" t="s">
        <v>117</v>
      </c>
      <c r="C38" s="254" t="s">
        <v>118</v>
      </c>
      <c r="D38" s="255" t="s">
        <v>119</v>
      </c>
      <c r="E38" s="255"/>
      <c r="F38" s="255"/>
      <c r="G38" s="255"/>
      <c r="H38" s="255"/>
      <c r="I38" s="272" t="s">
        <v>17</v>
      </c>
      <c r="J38" s="265">
        <f>ROUND((5.75*4)+(2.65*4.35)+(2.05*0.9)+(1.9*2.95)+(2.5*4.2)+(5*0.9),2)</f>
        <v>56.98</v>
      </c>
      <c r="K38" s="274">
        <v>40.07</v>
      </c>
      <c r="L38" s="274">
        <f t="shared" si="3"/>
        <v>2283.19</v>
      </c>
      <c r="M38" s="7"/>
      <c r="N38" s="258" t="s">
        <v>120</v>
      </c>
      <c r="P38" s="278"/>
      <c r="Q38" s="278"/>
    </row>
    <row r="39" spans="2:14" s="246" customFormat="1" ht="45" customHeight="1">
      <c r="B39" s="275" t="s">
        <v>121</v>
      </c>
      <c r="C39" s="254" t="s">
        <v>122</v>
      </c>
      <c r="D39" s="255" t="s">
        <v>123</v>
      </c>
      <c r="E39" s="255"/>
      <c r="F39" s="255"/>
      <c r="G39" s="255"/>
      <c r="H39" s="255"/>
      <c r="I39" s="253" t="s">
        <v>17</v>
      </c>
      <c r="J39" s="256">
        <f>ROUND(4*0.2*0.4,2)</f>
        <v>0.32</v>
      </c>
      <c r="K39" s="257">
        <v>66.84</v>
      </c>
      <c r="L39" s="257">
        <f t="shared" si="3"/>
        <v>21.39</v>
      </c>
      <c r="M39" s="7"/>
      <c r="N39" s="258" t="s">
        <v>124</v>
      </c>
    </row>
    <row r="40" spans="2:14" s="246" customFormat="1" ht="30" customHeight="1">
      <c r="B40" s="275" t="s">
        <v>125</v>
      </c>
      <c r="C40" s="254" t="s">
        <v>126</v>
      </c>
      <c r="D40" s="255" t="s">
        <v>127</v>
      </c>
      <c r="E40" s="255"/>
      <c r="F40" s="255"/>
      <c r="G40" s="255"/>
      <c r="H40" s="255"/>
      <c r="I40" s="253" t="s">
        <v>17</v>
      </c>
      <c r="J40" s="256">
        <f>ROUND(61.6*1*0.2,2)</f>
        <v>12.32</v>
      </c>
      <c r="K40" s="257">
        <v>45.95</v>
      </c>
      <c r="L40" s="257">
        <f t="shared" si="3"/>
        <v>566.1</v>
      </c>
      <c r="M40" s="7"/>
      <c r="N40" s="258" t="s">
        <v>128</v>
      </c>
    </row>
    <row r="41" spans="2:14" s="271" customFormat="1" ht="30" customHeight="1">
      <c r="B41" s="272" t="s">
        <v>129</v>
      </c>
      <c r="C41" s="254" t="s">
        <v>130</v>
      </c>
      <c r="D41" s="255" t="s">
        <v>131</v>
      </c>
      <c r="E41" s="255"/>
      <c r="F41" s="255"/>
      <c r="G41" s="255"/>
      <c r="H41" s="255"/>
      <c r="I41" s="272" t="s">
        <v>99</v>
      </c>
      <c r="J41" s="273">
        <f>ROUND((1.2*6)+(0.8*2),2)</f>
        <v>8.8</v>
      </c>
      <c r="K41" s="274">
        <v>28.9</v>
      </c>
      <c r="L41" s="274">
        <f t="shared" si="3"/>
        <v>254.32</v>
      </c>
      <c r="M41" s="7"/>
      <c r="N41" s="258" t="s">
        <v>132</v>
      </c>
    </row>
    <row r="42" spans="2:14" s="271" customFormat="1" ht="30" customHeight="1">
      <c r="B42" s="272" t="s">
        <v>133</v>
      </c>
      <c r="C42" s="254" t="s">
        <v>134</v>
      </c>
      <c r="D42" s="255" t="s">
        <v>135</v>
      </c>
      <c r="E42" s="255"/>
      <c r="F42" s="255"/>
      <c r="G42" s="255"/>
      <c r="H42" s="255"/>
      <c r="I42" s="272" t="s">
        <v>17</v>
      </c>
      <c r="J42" s="273">
        <f>ROUND(2*0.5,2)</f>
        <v>1</v>
      </c>
      <c r="K42" s="274">
        <v>84</v>
      </c>
      <c r="L42" s="274">
        <f t="shared" si="3"/>
        <v>84</v>
      </c>
      <c r="M42" s="7"/>
      <c r="N42" s="258" t="s">
        <v>136</v>
      </c>
    </row>
    <row r="43" spans="2:14" s="271" customFormat="1" ht="30" customHeight="1">
      <c r="B43" s="272" t="s">
        <v>137</v>
      </c>
      <c r="C43" s="254" t="s">
        <v>138</v>
      </c>
      <c r="D43" s="255" t="s">
        <v>139</v>
      </c>
      <c r="E43" s="255"/>
      <c r="F43" s="255"/>
      <c r="G43" s="255"/>
      <c r="H43" s="255"/>
      <c r="I43" s="272" t="s">
        <v>17</v>
      </c>
      <c r="J43" s="273">
        <f>ROUND((1.5+0.7),2)</f>
        <v>2.2</v>
      </c>
      <c r="K43" s="274">
        <v>80.93</v>
      </c>
      <c r="L43" s="274">
        <f t="shared" si="3"/>
        <v>178.05</v>
      </c>
      <c r="M43" s="7"/>
      <c r="N43" s="258" t="s">
        <v>140</v>
      </c>
    </row>
    <row r="44" spans="2:14" ht="9.75" customHeight="1">
      <c r="B44" s="279"/>
      <c r="C44" s="279"/>
      <c r="D44" s="280"/>
      <c r="E44" s="280"/>
      <c r="F44" s="280"/>
      <c r="G44" s="280"/>
      <c r="H44" s="280"/>
      <c r="I44" s="281"/>
      <c r="J44" s="279"/>
      <c r="K44" s="279"/>
      <c r="L44" s="279"/>
      <c r="M44" s="282"/>
      <c r="N44" s="283"/>
    </row>
    <row r="45" spans="2:14" s="237" customFormat="1" ht="30" customHeight="1">
      <c r="B45" s="238" t="s">
        <v>141</v>
      </c>
      <c r="C45" s="239"/>
      <c r="D45" s="270" t="s">
        <v>142</v>
      </c>
      <c r="E45" s="270"/>
      <c r="F45" s="270"/>
      <c r="G45" s="270"/>
      <c r="H45" s="270"/>
      <c r="I45" s="241"/>
      <c r="J45" s="242"/>
      <c r="K45" s="241"/>
      <c r="L45" s="243">
        <f>SUM(L46:L52)</f>
        <v>8878.519999999999</v>
      </c>
      <c r="M45" s="7"/>
      <c r="N45" s="284"/>
    </row>
    <row r="46" spans="2:21" s="236" customFormat="1" ht="15" customHeight="1">
      <c r="B46" s="272" t="s">
        <v>143</v>
      </c>
      <c r="C46" s="254" t="s">
        <v>144</v>
      </c>
      <c r="D46" s="255" t="s">
        <v>145</v>
      </c>
      <c r="E46" s="255" t="s">
        <v>146</v>
      </c>
      <c r="F46" s="255" t="s">
        <v>146</v>
      </c>
      <c r="G46" s="255" t="s">
        <v>146</v>
      </c>
      <c r="H46" s="255" t="s">
        <v>146</v>
      </c>
      <c r="I46" s="272" t="s">
        <v>147</v>
      </c>
      <c r="J46" s="273">
        <v>3</v>
      </c>
      <c r="K46" s="274">
        <v>1202.58</v>
      </c>
      <c r="L46" s="274">
        <f aca="true" t="shared" si="4" ref="L46:L52">ROUND(J46*K46,2)</f>
        <v>3607.74</v>
      </c>
      <c r="M46" s="7"/>
      <c r="N46" s="258" t="s">
        <v>148</v>
      </c>
      <c r="O46" s="285"/>
      <c r="P46" s="285"/>
      <c r="Q46" s="285"/>
      <c r="R46" s="285"/>
      <c r="S46" s="285"/>
      <c r="T46" s="286">
        <v>586.41</v>
      </c>
      <c r="U46" s="285"/>
    </row>
    <row r="47" spans="2:21" s="236" customFormat="1" ht="15" customHeight="1">
      <c r="B47" s="272" t="s">
        <v>149</v>
      </c>
      <c r="C47" s="254" t="s">
        <v>150</v>
      </c>
      <c r="D47" s="255" t="s">
        <v>151</v>
      </c>
      <c r="E47" s="255" t="s">
        <v>152</v>
      </c>
      <c r="F47" s="255" t="s">
        <v>152</v>
      </c>
      <c r="G47" s="255" t="s">
        <v>152</v>
      </c>
      <c r="H47" s="255" t="s">
        <v>152</v>
      </c>
      <c r="I47" s="272" t="s">
        <v>147</v>
      </c>
      <c r="J47" s="273">
        <v>5</v>
      </c>
      <c r="K47" s="274">
        <v>519.72</v>
      </c>
      <c r="L47" s="274">
        <f t="shared" si="4"/>
        <v>2598.6</v>
      </c>
      <c r="M47" s="7"/>
      <c r="N47" s="258" t="s">
        <v>153</v>
      </c>
      <c r="O47" s="285"/>
      <c r="P47" s="285"/>
      <c r="Q47" s="285"/>
      <c r="R47" s="285"/>
      <c r="S47" s="285"/>
      <c r="T47" s="286">
        <v>400.12</v>
      </c>
      <c r="U47" s="285"/>
    </row>
    <row r="48" spans="2:20" s="246" customFormat="1" ht="15" customHeight="1">
      <c r="B48" s="275" t="s">
        <v>154</v>
      </c>
      <c r="C48" s="254" t="s">
        <v>155</v>
      </c>
      <c r="D48" s="255" t="s">
        <v>156</v>
      </c>
      <c r="E48" s="255" t="s">
        <v>156</v>
      </c>
      <c r="F48" s="255" t="s">
        <v>156</v>
      </c>
      <c r="G48" s="255" t="s">
        <v>156</v>
      </c>
      <c r="H48" s="255" t="s">
        <v>156</v>
      </c>
      <c r="I48" s="253" t="s">
        <v>147</v>
      </c>
      <c r="J48" s="256">
        <v>40</v>
      </c>
      <c r="K48" s="257">
        <v>21.07</v>
      </c>
      <c r="L48" s="257">
        <f t="shared" si="4"/>
        <v>842.8</v>
      </c>
      <c r="M48" s="287"/>
      <c r="N48" s="258" t="s">
        <v>157</v>
      </c>
      <c r="T48" s="288">
        <v>15.33</v>
      </c>
    </row>
    <row r="49" spans="2:20" s="246" customFormat="1" ht="15" customHeight="1">
      <c r="B49" s="275" t="s">
        <v>158</v>
      </c>
      <c r="C49" s="254" t="s">
        <v>159</v>
      </c>
      <c r="D49" s="255" t="s">
        <v>160</v>
      </c>
      <c r="E49" s="255" t="s">
        <v>161</v>
      </c>
      <c r="F49" s="255" t="s">
        <v>161</v>
      </c>
      <c r="G49" s="255" t="s">
        <v>161</v>
      </c>
      <c r="H49" s="255" t="s">
        <v>161</v>
      </c>
      <c r="I49" s="253" t="s">
        <v>147</v>
      </c>
      <c r="J49" s="256">
        <v>40</v>
      </c>
      <c r="K49" s="257">
        <v>21.96</v>
      </c>
      <c r="L49" s="257">
        <f t="shared" si="4"/>
        <v>878.4</v>
      </c>
      <c r="M49" s="287"/>
      <c r="N49" s="258" t="s">
        <v>162</v>
      </c>
      <c r="T49" s="288">
        <v>15.92</v>
      </c>
    </row>
    <row r="50" spans="2:20" s="271" customFormat="1" ht="30" customHeight="1">
      <c r="B50" s="272" t="s">
        <v>163</v>
      </c>
      <c r="C50" s="254" t="s">
        <v>164</v>
      </c>
      <c r="D50" s="289" t="s">
        <v>165</v>
      </c>
      <c r="E50" s="289" t="s">
        <v>166</v>
      </c>
      <c r="F50" s="289" t="s">
        <v>166</v>
      </c>
      <c r="G50" s="289" t="s">
        <v>166</v>
      </c>
      <c r="H50" s="289" t="s">
        <v>166</v>
      </c>
      <c r="I50" s="272" t="s">
        <v>147</v>
      </c>
      <c r="J50" s="273">
        <v>4</v>
      </c>
      <c r="K50" s="274">
        <v>162.12</v>
      </c>
      <c r="L50" s="274">
        <f t="shared" si="4"/>
        <v>648.48</v>
      </c>
      <c r="M50" s="7"/>
      <c r="N50" s="258" t="s">
        <v>167</v>
      </c>
      <c r="T50" s="286">
        <v>58.42</v>
      </c>
    </row>
    <row r="51" spans="2:20" s="246" customFormat="1" ht="30" customHeight="1">
      <c r="B51" s="275" t="s">
        <v>168</v>
      </c>
      <c r="C51" s="254" t="s">
        <v>169</v>
      </c>
      <c r="D51" s="290" t="s">
        <v>170</v>
      </c>
      <c r="E51" s="290"/>
      <c r="F51" s="290"/>
      <c r="G51" s="290"/>
      <c r="H51" s="290"/>
      <c r="I51" s="253" t="s">
        <v>17</v>
      </c>
      <c r="J51" s="256">
        <f>ROUND((1.15*1)+(0.25*0.4*6),2)</f>
        <v>1.75</v>
      </c>
      <c r="K51" s="257">
        <v>70.02</v>
      </c>
      <c r="L51" s="257">
        <f t="shared" si="4"/>
        <v>122.54</v>
      </c>
      <c r="M51" s="7"/>
      <c r="N51" s="258" t="s">
        <v>171</v>
      </c>
      <c r="T51" s="288"/>
    </row>
    <row r="52" spans="2:20" s="246" customFormat="1" ht="15" customHeight="1">
      <c r="B52" s="275" t="s">
        <v>172</v>
      </c>
      <c r="C52" s="254" t="s">
        <v>173</v>
      </c>
      <c r="D52" s="290" t="s">
        <v>174</v>
      </c>
      <c r="E52" s="290"/>
      <c r="F52" s="290"/>
      <c r="G52" s="290"/>
      <c r="H52" s="290"/>
      <c r="I52" s="253" t="s">
        <v>17</v>
      </c>
      <c r="J52" s="256">
        <f>ROUND(0.6*1.2,2)</f>
        <v>0.72</v>
      </c>
      <c r="K52" s="257">
        <v>249.95</v>
      </c>
      <c r="L52" s="257">
        <f t="shared" si="4"/>
        <v>179.96</v>
      </c>
      <c r="M52" s="7"/>
      <c r="N52" s="258" t="s">
        <v>175</v>
      </c>
      <c r="T52" s="288"/>
    </row>
    <row r="53" spans="2:14" ht="9.75" customHeight="1">
      <c r="B53" s="291"/>
      <c r="C53" s="291"/>
      <c r="D53" s="292"/>
      <c r="E53" s="292"/>
      <c r="F53" s="292"/>
      <c r="G53" s="292"/>
      <c r="H53" s="292"/>
      <c r="I53" s="293"/>
      <c r="J53" s="291"/>
      <c r="K53" s="291"/>
      <c r="L53" s="291"/>
      <c r="M53" s="282"/>
      <c r="N53" s="283"/>
    </row>
    <row r="54" spans="2:14" s="237" customFormat="1" ht="30" customHeight="1">
      <c r="B54" s="238" t="s">
        <v>176</v>
      </c>
      <c r="C54" s="239"/>
      <c r="D54" s="294" t="s">
        <v>177</v>
      </c>
      <c r="E54" s="294"/>
      <c r="F54" s="294"/>
      <c r="G54" s="294"/>
      <c r="H54" s="294"/>
      <c r="I54" s="241"/>
      <c r="J54" s="242"/>
      <c r="K54" s="241"/>
      <c r="L54" s="243">
        <f>SUM(L55:L63)</f>
        <v>2162.7599999999998</v>
      </c>
      <c r="M54" s="7"/>
      <c r="N54" s="284"/>
    </row>
    <row r="55" spans="2:14" s="246" customFormat="1" ht="30" customHeight="1">
      <c r="B55" s="275" t="s">
        <v>178</v>
      </c>
      <c r="C55" s="254" t="s">
        <v>179</v>
      </c>
      <c r="D55" s="255" t="s">
        <v>180</v>
      </c>
      <c r="E55" s="255" t="s">
        <v>181</v>
      </c>
      <c r="F55" s="255" t="s">
        <v>181</v>
      </c>
      <c r="G55" s="255" t="s">
        <v>181</v>
      </c>
      <c r="H55" s="255" t="s">
        <v>181</v>
      </c>
      <c r="I55" s="253" t="s">
        <v>147</v>
      </c>
      <c r="J55" s="256">
        <v>6</v>
      </c>
      <c r="K55" s="257">
        <v>55.19</v>
      </c>
      <c r="L55" s="257">
        <f aca="true" t="shared" si="5" ref="L55:L63">ROUND(J55*K55,2)</f>
        <v>331.14</v>
      </c>
      <c r="M55" s="7"/>
      <c r="N55" s="258" t="s">
        <v>182</v>
      </c>
    </row>
    <row r="56" spans="2:14" s="271" customFormat="1" ht="15" customHeight="1">
      <c r="B56" s="272" t="s">
        <v>183</v>
      </c>
      <c r="C56" s="254" t="s">
        <v>184</v>
      </c>
      <c r="D56" s="289" t="s">
        <v>185</v>
      </c>
      <c r="E56" s="289" t="s">
        <v>186</v>
      </c>
      <c r="F56" s="289" t="s">
        <v>186</v>
      </c>
      <c r="G56" s="289" t="s">
        <v>186</v>
      </c>
      <c r="H56" s="289" t="s">
        <v>186</v>
      </c>
      <c r="I56" s="272" t="s">
        <v>147</v>
      </c>
      <c r="J56" s="273">
        <v>7</v>
      </c>
      <c r="K56" s="274">
        <v>4.74</v>
      </c>
      <c r="L56" s="274">
        <f t="shared" si="5"/>
        <v>33.18</v>
      </c>
      <c r="M56" s="7"/>
      <c r="N56" s="258" t="s">
        <v>187</v>
      </c>
    </row>
    <row r="57" spans="2:14" s="246" customFormat="1" ht="45" customHeight="1">
      <c r="B57" s="275" t="s">
        <v>188</v>
      </c>
      <c r="C57" s="254" t="s">
        <v>189</v>
      </c>
      <c r="D57" s="255" t="s">
        <v>190</v>
      </c>
      <c r="E57" s="255" t="s">
        <v>181</v>
      </c>
      <c r="F57" s="255" t="s">
        <v>181</v>
      </c>
      <c r="G57" s="255" t="s">
        <v>181</v>
      </c>
      <c r="H57" s="255" t="s">
        <v>181</v>
      </c>
      <c r="I57" s="253" t="s">
        <v>147</v>
      </c>
      <c r="J57" s="256">
        <v>3</v>
      </c>
      <c r="K57" s="257">
        <v>160.6</v>
      </c>
      <c r="L57" s="257">
        <f t="shared" si="5"/>
        <v>481.8</v>
      </c>
      <c r="M57" s="7"/>
      <c r="N57" s="258" t="s">
        <v>191</v>
      </c>
    </row>
    <row r="58" spans="2:14" s="246" customFormat="1" ht="45" customHeight="1">
      <c r="B58" s="275" t="s">
        <v>188</v>
      </c>
      <c r="C58" s="254" t="s">
        <v>189</v>
      </c>
      <c r="D58" s="255" t="s">
        <v>190</v>
      </c>
      <c r="E58" s="255" t="s">
        <v>181</v>
      </c>
      <c r="F58" s="255" t="s">
        <v>181</v>
      </c>
      <c r="G58" s="255" t="s">
        <v>181</v>
      </c>
      <c r="H58" s="255" t="s">
        <v>181</v>
      </c>
      <c r="I58" s="253" t="s">
        <v>147</v>
      </c>
      <c r="J58" s="256">
        <v>3</v>
      </c>
      <c r="K58" s="257">
        <v>160.6</v>
      </c>
      <c r="L58" s="257">
        <f t="shared" si="5"/>
        <v>481.8</v>
      </c>
      <c r="M58" s="7"/>
      <c r="N58" s="258" t="s">
        <v>191</v>
      </c>
    </row>
    <row r="59" spans="2:17" s="271" customFormat="1" ht="90" customHeight="1">
      <c r="B59" s="275" t="s">
        <v>195</v>
      </c>
      <c r="C59" s="254" t="s">
        <v>196</v>
      </c>
      <c r="D59" s="255" t="s">
        <v>197</v>
      </c>
      <c r="E59" s="255" t="s">
        <v>198</v>
      </c>
      <c r="F59" s="255" t="s">
        <v>198</v>
      </c>
      <c r="G59" s="255" t="s">
        <v>198</v>
      </c>
      <c r="H59" s="255" t="s">
        <v>198</v>
      </c>
      <c r="I59" s="272" t="s">
        <v>147</v>
      </c>
      <c r="J59" s="273">
        <f>(2+10+7+6+1+2+2+1+2+1)</f>
        <v>34</v>
      </c>
      <c r="K59" s="274">
        <v>13.28</v>
      </c>
      <c r="L59" s="274">
        <f t="shared" si="5"/>
        <v>451.52</v>
      </c>
      <c r="M59" s="295"/>
      <c r="N59" s="258" t="s">
        <v>199</v>
      </c>
      <c r="P59" s="296"/>
      <c r="Q59" s="296"/>
    </row>
    <row r="60" spans="2:14" s="246" customFormat="1" ht="30" customHeight="1">
      <c r="B60" s="275" t="s">
        <v>200</v>
      </c>
      <c r="C60" s="254" t="s">
        <v>201</v>
      </c>
      <c r="D60" s="255" t="s">
        <v>202</v>
      </c>
      <c r="E60" s="255" t="s">
        <v>203</v>
      </c>
      <c r="F60" s="255" t="s">
        <v>203</v>
      </c>
      <c r="G60" s="255" t="s">
        <v>203</v>
      </c>
      <c r="H60" s="255" t="s">
        <v>203</v>
      </c>
      <c r="I60" s="253" t="s">
        <v>99</v>
      </c>
      <c r="J60" s="256">
        <f>ROUND(20*3,2)</f>
        <v>60</v>
      </c>
      <c r="K60" s="257">
        <v>3.7</v>
      </c>
      <c r="L60" s="257">
        <f t="shared" si="5"/>
        <v>222</v>
      </c>
      <c r="M60" s="7"/>
      <c r="N60" s="258" t="s">
        <v>204</v>
      </c>
    </row>
    <row r="61" spans="2:14" s="246" customFormat="1" ht="15" customHeight="1">
      <c r="B61" s="275" t="s">
        <v>205</v>
      </c>
      <c r="C61" s="254" t="s">
        <v>206</v>
      </c>
      <c r="D61" s="255" t="s">
        <v>207</v>
      </c>
      <c r="E61" s="255" t="s">
        <v>208</v>
      </c>
      <c r="F61" s="255" t="s">
        <v>208</v>
      </c>
      <c r="G61" s="255" t="s">
        <v>208</v>
      </c>
      <c r="H61" s="255" t="s">
        <v>208</v>
      </c>
      <c r="I61" s="253" t="s">
        <v>147</v>
      </c>
      <c r="J61" s="256">
        <v>1</v>
      </c>
      <c r="K61" s="257">
        <v>7.56</v>
      </c>
      <c r="L61" s="257">
        <f t="shared" si="5"/>
        <v>7.56</v>
      </c>
      <c r="M61" s="7"/>
      <c r="N61" s="258" t="s">
        <v>209</v>
      </c>
    </row>
    <row r="62" spans="2:14" s="246" customFormat="1" ht="30" customHeight="1">
      <c r="B62" s="272" t="s">
        <v>210</v>
      </c>
      <c r="C62" s="254" t="s">
        <v>211</v>
      </c>
      <c r="D62" s="255" t="s">
        <v>212</v>
      </c>
      <c r="E62" s="255" t="s">
        <v>213</v>
      </c>
      <c r="F62" s="255" t="s">
        <v>213</v>
      </c>
      <c r="G62" s="255" t="s">
        <v>213</v>
      </c>
      <c r="H62" s="255" t="s">
        <v>213</v>
      </c>
      <c r="I62" s="253" t="s">
        <v>147</v>
      </c>
      <c r="J62" s="256">
        <v>1</v>
      </c>
      <c r="K62" s="257">
        <v>10.98</v>
      </c>
      <c r="L62" s="257">
        <f t="shared" si="5"/>
        <v>10.98</v>
      </c>
      <c r="M62" s="7"/>
      <c r="N62" s="258" t="s">
        <v>209</v>
      </c>
    </row>
    <row r="63" spans="2:14" s="271" customFormat="1" ht="45" customHeight="1">
      <c r="B63" s="272" t="s">
        <v>210</v>
      </c>
      <c r="C63" s="254" t="s">
        <v>215</v>
      </c>
      <c r="D63" s="255" t="s">
        <v>380</v>
      </c>
      <c r="E63" s="255"/>
      <c r="F63" s="255"/>
      <c r="G63" s="255"/>
      <c r="H63" s="255"/>
      <c r="I63" s="272" t="s">
        <v>147</v>
      </c>
      <c r="J63" s="273">
        <v>1</v>
      </c>
      <c r="K63" s="274">
        <v>142.78</v>
      </c>
      <c r="L63" s="274">
        <f t="shared" si="5"/>
        <v>142.78</v>
      </c>
      <c r="M63" s="7"/>
      <c r="N63" s="258" t="s">
        <v>217</v>
      </c>
    </row>
    <row r="64" spans="2:14" ht="9.75" customHeight="1">
      <c r="B64" s="297"/>
      <c r="C64" s="297"/>
      <c r="D64" s="298"/>
      <c r="E64" s="298"/>
      <c r="F64" s="298"/>
      <c r="G64" s="298"/>
      <c r="H64" s="298"/>
      <c r="I64" s="299"/>
      <c r="J64" s="297"/>
      <c r="K64" s="297"/>
      <c r="L64" s="297"/>
      <c r="M64" s="282"/>
      <c r="N64" s="283"/>
    </row>
    <row r="65" spans="2:14" s="237" customFormat="1" ht="30" customHeight="1">
      <c r="B65" s="238" t="s">
        <v>218</v>
      </c>
      <c r="C65" s="239"/>
      <c r="D65" s="294" t="s">
        <v>219</v>
      </c>
      <c r="E65" s="294"/>
      <c r="F65" s="294"/>
      <c r="G65" s="294"/>
      <c r="H65" s="294"/>
      <c r="I65" s="241"/>
      <c r="J65" s="242"/>
      <c r="K65" s="241"/>
      <c r="L65" s="243">
        <f>SUM(L66:L73)</f>
        <v>1196.6399999999999</v>
      </c>
      <c r="M65" s="7"/>
      <c r="N65" s="284"/>
    </row>
    <row r="66" spans="2:14" s="246" customFormat="1" ht="15" customHeight="1">
      <c r="B66" s="275" t="s">
        <v>220</v>
      </c>
      <c r="C66" s="254" t="s">
        <v>221</v>
      </c>
      <c r="D66" s="255" t="s">
        <v>222</v>
      </c>
      <c r="E66" s="255" t="s">
        <v>223</v>
      </c>
      <c r="F66" s="255" t="s">
        <v>223</v>
      </c>
      <c r="G66" s="255" t="s">
        <v>223</v>
      </c>
      <c r="H66" s="255" t="s">
        <v>223</v>
      </c>
      <c r="I66" s="253" t="s">
        <v>147</v>
      </c>
      <c r="J66" s="256">
        <v>1</v>
      </c>
      <c r="K66" s="257">
        <v>43.61</v>
      </c>
      <c r="L66" s="257">
        <f aca="true" t="shared" si="6" ref="L66:L73">ROUND(J66*K66,2)</f>
        <v>43.61</v>
      </c>
      <c r="M66" s="7"/>
      <c r="N66" s="258" t="s">
        <v>224</v>
      </c>
    </row>
    <row r="67" spans="2:14" s="246" customFormat="1" ht="30" customHeight="1">
      <c r="B67" s="275" t="s">
        <v>225</v>
      </c>
      <c r="C67" s="254" t="s">
        <v>226</v>
      </c>
      <c r="D67" s="255" t="s">
        <v>227</v>
      </c>
      <c r="E67" s="255" t="s">
        <v>227</v>
      </c>
      <c r="F67" s="255" t="s">
        <v>227</v>
      </c>
      <c r="G67" s="255" t="s">
        <v>227</v>
      </c>
      <c r="H67" s="255" t="s">
        <v>227</v>
      </c>
      <c r="I67" s="253" t="s">
        <v>147</v>
      </c>
      <c r="J67" s="256">
        <v>1</v>
      </c>
      <c r="K67" s="257">
        <v>170.72</v>
      </c>
      <c r="L67" s="257">
        <f t="shared" si="6"/>
        <v>170.72</v>
      </c>
      <c r="M67" s="7"/>
      <c r="N67" s="258" t="s">
        <v>228</v>
      </c>
    </row>
    <row r="68" spans="2:14" s="246" customFormat="1" ht="15" customHeight="1">
      <c r="B68" s="275" t="s">
        <v>229</v>
      </c>
      <c r="C68" s="254" t="s">
        <v>230</v>
      </c>
      <c r="D68" s="255" t="s">
        <v>231</v>
      </c>
      <c r="E68" s="255" t="s">
        <v>232</v>
      </c>
      <c r="F68" s="255" t="s">
        <v>232</v>
      </c>
      <c r="G68" s="255" t="s">
        <v>232</v>
      </c>
      <c r="H68" s="255" t="s">
        <v>232</v>
      </c>
      <c r="I68" s="253" t="s">
        <v>147</v>
      </c>
      <c r="J68" s="256">
        <v>1</v>
      </c>
      <c r="K68" s="257">
        <v>73.47</v>
      </c>
      <c r="L68" s="257">
        <f t="shared" si="6"/>
        <v>73.47</v>
      </c>
      <c r="M68" s="7"/>
      <c r="N68" s="258" t="s">
        <v>224</v>
      </c>
    </row>
    <row r="69" spans="2:14" s="246" customFormat="1" ht="30" customHeight="1">
      <c r="B69" s="275" t="s">
        <v>233</v>
      </c>
      <c r="C69" s="254" t="s">
        <v>234</v>
      </c>
      <c r="D69" s="255" t="s">
        <v>235</v>
      </c>
      <c r="E69" s="255" t="s">
        <v>236</v>
      </c>
      <c r="F69" s="255" t="s">
        <v>236</v>
      </c>
      <c r="G69" s="255" t="s">
        <v>236</v>
      </c>
      <c r="H69" s="255" t="s">
        <v>236</v>
      </c>
      <c r="I69" s="253" t="s">
        <v>147</v>
      </c>
      <c r="J69" s="256">
        <v>3</v>
      </c>
      <c r="K69" s="257">
        <v>45.21</v>
      </c>
      <c r="L69" s="257">
        <f t="shared" si="6"/>
        <v>135.63</v>
      </c>
      <c r="M69" s="7"/>
      <c r="N69" s="258" t="s">
        <v>224</v>
      </c>
    </row>
    <row r="70" spans="2:18" s="236" customFormat="1" ht="30" customHeight="1">
      <c r="B70" s="272" t="s">
        <v>237</v>
      </c>
      <c r="C70" s="300" t="s">
        <v>238</v>
      </c>
      <c r="D70" s="255" t="s">
        <v>239</v>
      </c>
      <c r="E70" s="255" t="s">
        <v>240</v>
      </c>
      <c r="F70" s="255" t="s">
        <v>240</v>
      </c>
      <c r="G70" s="255" t="s">
        <v>240</v>
      </c>
      <c r="H70" s="255" t="s">
        <v>240</v>
      </c>
      <c r="I70" s="272" t="s">
        <v>241</v>
      </c>
      <c r="J70" s="273">
        <v>0.5</v>
      </c>
      <c r="K70" s="274">
        <v>19.81</v>
      </c>
      <c r="L70" s="274">
        <f t="shared" si="6"/>
        <v>9.91</v>
      </c>
      <c r="M70" s="7"/>
      <c r="N70" s="258" t="s">
        <v>242</v>
      </c>
      <c r="P70" s="278"/>
      <c r="Q70" s="278"/>
      <c r="R70" s="278"/>
    </row>
    <row r="71" spans="2:14" s="246" customFormat="1" ht="15" customHeight="1">
      <c r="B71" s="275" t="s">
        <v>243</v>
      </c>
      <c r="C71" s="254" t="s">
        <v>244</v>
      </c>
      <c r="D71" s="255" t="s">
        <v>245</v>
      </c>
      <c r="E71" s="255"/>
      <c r="F71" s="255"/>
      <c r="G71" s="255"/>
      <c r="H71" s="255"/>
      <c r="I71" s="253" t="s">
        <v>147</v>
      </c>
      <c r="J71" s="256">
        <v>2</v>
      </c>
      <c r="K71" s="257">
        <v>38.69</v>
      </c>
      <c r="L71" s="257">
        <f t="shared" si="6"/>
        <v>77.38</v>
      </c>
      <c r="M71" s="7"/>
      <c r="N71" s="276" t="s">
        <v>246</v>
      </c>
    </row>
    <row r="72" spans="2:14" s="271" customFormat="1" ht="30" customHeight="1">
      <c r="B72" s="272" t="s">
        <v>247</v>
      </c>
      <c r="C72" s="254" t="s">
        <v>248</v>
      </c>
      <c r="D72" s="255" t="s">
        <v>249</v>
      </c>
      <c r="E72" s="255"/>
      <c r="F72" s="255"/>
      <c r="G72" s="255"/>
      <c r="H72" s="255"/>
      <c r="I72" s="272" t="s">
        <v>147</v>
      </c>
      <c r="J72" s="273">
        <v>0.5</v>
      </c>
      <c r="K72" s="274">
        <v>1226.63</v>
      </c>
      <c r="L72" s="274">
        <f t="shared" si="6"/>
        <v>613.32</v>
      </c>
      <c r="M72" s="7"/>
      <c r="N72" s="258" t="s">
        <v>250</v>
      </c>
    </row>
    <row r="73" spans="2:14" s="271" customFormat="1" ht="15" customHeight="1">
      <c r="B73" s="272" t="s">
        <v>251</v>
      </c>
      <c r="C73" s="254" t="s">
        <v>252</v>
      </c>
      <c r="D73" s="255" t="s">
        <v>253</v>
      </c>
      <c r="E73" s="255"/>
      <c r="F73" s="255"/>
      <c r="G73" s="255"/>
      <c r="H73" s="255"/>
      <c r="I73" s="272" t="s">
        <v>147</v>
      </c>
      <c r="J73" s="273">
        <v>1</v>
      </c>
      <c r="K73" s="274">
        <v>72.6</v>
      </c>
      <c r="L73" s="274">
        <f t="shared" si="6"/>
        <v>72.6</v>
      </c>
      <c r="M73" s="7"/>
      <c r="N73" s="258" t="s">
        <v>254</v>
      </c>
    </row>
    <row r="74" spans="2:14" s="237" customFormat="1" ht="9.75" customHeight="1">
      <c r="B74" s="301"/>
      <c r="C74" s="302"/>
      <c r="D74" s="303"/>
      <c r="E74" s="303"/>
      <c r="F74" s="303"/>
      <c r="G74" s="303"/>
      <c r="H74" s="303"/>
      <c r="I74" s="304"/>
      <c r="J74" s="305"/>
      <c r="K74" s="305"/>
      <c r="L74" s="305"/>
      <c r="M74" s="7"/>
      <c r="N74" s="306"/>
    </row>
    <row r="75" spans="2:14" s="237" customFormat="1" ht="30" customHeight="1">
      <c r="B75" s="238" t="s">
        <v>255</v>
      </c>
      <c r="C75" s="239"/>
      <c r="D75" s="294" t="s">
        <v>256</v>
      </c>
      <c r="E75" s="294"/>
      <c r="F75" s="294"/>
      <c r="G75" s="294"/>
      <c r="H75" s="294"/>
      <c r="I75" s="241"/>
      <c r="J75" s="241"/>
      <c r="K75" s="241"/>
      <c r="L75" s="243">
        <f>SUM(L76:L77)</f>
        <v>12688.029999999999</v>
      </c>
      <c r="M75" s="7"/>
      <c r="N75" s="284"/>
    </row>
    <row r="76" spans="2:14" s="246" customFormat="1" ht="30" customHeight="1">
      <c r="B76" s="307" t="s">
        <v>257</v>
      </c>
      <c r="C76" s="248" t="s">
        <v>258</v>
      </c>
      <c r="D76" s="249" t="s">
        <v>259</v>
      </c>
      <c r="E76" s="249" t="s">
        <v>260</v>
      </c>
      <c r="F76" s="249" t="s">
        <v>260</v>
      </c>
      <c r="G76" s="249" t="s">
        <v>260</v>
      </c>
      <c r="H76" s="249" t="s">
        <v>260</v>
      </c>
      <c r="I76" s="247" t="s">
        <v>17</v>
      </c>
      <c r="J76" s="250">
        <f aca="true" t="shared" si="7" ref="J76:J77">ROUND(453.5*0.2,2)</f>
        <v>90.7</v>
      </c>
      <c r="K76" s="251">
        <v>15.48</v>
      </c>
      <c r="L76" s="257">
        <f aca="true" t="shared" si="8" ref="L76:L77">ROUND(J76*K76,2)</f>
        <v>1404.04</v>
      </c>
      <c r="M76" s="7"/>
      <c r="N76" s="258" t="s">
        <v>261</v>
      </c>
    </row>
    <row r="77" spans="2:14" s="246" customFormat="1" ht="30" customHeight="1">
      <c r="B77" s="275" t="s">
        <v>262</v>
      </c>
      <c r="C77" s="308" t="s">
        <v>263</v>
      </c>
      <c r="D77" s="255" t="s">
        <v>264</v>
      </c>
      <c r="E77" s="255" t="s">
        <v>265</v>
      </c>
      <c r="F77" s="255" t="s">
        <v>265</v>
      </c>
      <c r="G77" s="255" t="s">
        <v>265</v>
      </c>
      <c r="H77" s="255" t="s">
        <v>265</v>
      </c>
      <c r="I77" s="253" t="s">
        <v>17</v>
      </c>
      <c r="J77" s="256">
        <f t="shared" si="7"/>
        <v>90.7</v>
      </c>
      <c r="K77" s="257">
        <v>124.41</v>
      </c>
      <c r="L77" s="257">
        <f t="shared" si="8"/>
        <v>11283.99</v>
      </c>
      <c r="M77" s="7"/>
      <c r="N77" s="258" t="s">
        <v>261</v>
      </c>
    </row>
    <row r="78" spans="2:14" s="237" customFormat="1" ht="9.75" customHeight="1">
      <c r="B78" s="301"/>
      <c r="C78" s="302"/>
      <c r="D78" s="303"/>
      <c r="E78" s="303"/>
      <c r="F78" s="303"/>
      <c r="G78" s="303"/>
      <c r="H78" s="303"/>
      <c r="I78" s="304"/>
      <c r="J78" s="305"/>
      <c r="K78" s="305"/>
      <c r="L78" s="305"/>
      <c r="M78" s="7"/>
      <c r="N78" s="306"/>
    </row>
    <row r="79" spans="2:14" s="237" customFormat="1" ht="30" customHeight="1">
      <c r="B79" s="238" t="s">
        <v>266</v>
      </c>
      <c r="C79" s="239"/>
      <c r="D79" s="294" t="s">
        <v>267</v>
      </c>
      <c r="E79" s="294"/>
      <c r="F79" s="294"/>
      <c r="G79" s="294"/>
      <c r="H79" s="294"/>
      <c r="I79" s="241"/>
      <c r="J79" s="242"/>
      <c r="K79" s="241"/>
      <c r="L79" s="243">
        <f>SUM(L80:L84)</f>
        <v>31082.980000000003</v>
      </c>
      <c r="M79" s="7"/>
      <c r="N79" s="284"/>
    </row>
    <row r="80" spans="2:14" s="246" customFormat="1" ht="30" customHeight="1">
      <c r="B80" s="275" t="s">
        <v>268</v>
      </c>
      <c r="C80" s="254" t="s">
        <v>269</v>
      </c>
      <c r="D80" s="255" t="s">
        <v>270</v>
      </c>
      <c r="E80" s="255" t="s">
        <v>271</v>
      </c>
      <c r="F80" s="255" t="s">
        <v>271</v>
      </c>
      <c r="G80" s="255" t="s">
        <v>271</v>
      </c>
      <c r="H80" s="255" t="s">
        <v>271</v>
      </c>
      <c r="I80" s="253" t="s">
        <v>17</v>
      </c>
      <c r="J80" s="256">
        <f>ROUND(19.4*2.6,2)</f>
        <v>50.44</v>
      </c>
      <c r="K80" s="257">
        <v>17.11</v>
      </c>
      <c r="L80" s="257">
        <f aca="true" t="shared" si="9" ref="L80:L84">ROUND(J80*K80,2)</f>
        <v>863.03</v>
      </c>
      <c r="M80" s="7"/>
      <c r="N80" s="258" t="s">
        <v>272</v>
      </c>
    </row>
    <row r="81" spans="2:15" s="246" customFormat="1" ht="90" customHeight="1">
      <c r="B81" s="275" t="s">
        <v>273</v>
      </c>
      <c r="C81" s="254" t="s">
        <v>274</v>
      </c>
      <c r="D81" s="255" t="s">
        <v>275</v>
      </c>
      <c r="E81" s="255" t="s">
        <v>276</v>
      </c>
      <c r="F81" s="255" t="s">
        <v>276</v>
      </c>
      <c r="G81" s="255" t="s">
        <v>276</v>
      </c>
      <c r="H81" s="255" t="s">
        <v>276</v>
      </c>
      <c r="I81" s="253" t="s">
        <v>17</v>
      </c>
      <c r="J81" s="256">
        <f>ROUND(((110*4)+(20.2*4)+(61.8*4)+(11.7*4)+(11.59*4*2)+(10.4*4)+(12*2*2))-(J80),2)</f>
        <v>946.68</v>
      </c>
      <c r="K81" s="257">
        <v>23.68</v>
      </c>
      <c r="L81" s="257">
        <f t="shared" si="9"/>
        <v>22417.38</v>
      </c>
      <c r="M81" s="7"/>
      <c r="N81" s="258" t="s">
        <v>277</v>
      </c>
      <c r="O81" s="309"/>
    </row>
    <row r="82" spans="2:15" s="246" customFormat="1" ht="129.75" customHeight="1">
      <c r="B82" s="275" t="s">
        <v>278</v>
      </c>
      <c r="C82" s="254" t="s">
        <v>279</v>
      </c>
      <c r="D82" s="255" t="s">
        <v>280</v>
      </c>
      <c r="E82" s="255"/>
      <c r="F82" s="255"/>
      <c r="G82" s="255"/>
      <c r="H82" s="255"/>
      <c r="I82" s="253" t="s">
        <v>17</v>
      </c>
      <c r="J82" s="256">
        <f>ROUND((4.7*2.4*2.5)+(1.2*1.4*2.5*20)+(26.55*2*0.1)+(1.15*4.05)+(1.95*4.3*2)+(110*0.5)+(0.2*0.4*19*2)+(53.1*0.1)+(22.5*0.15*4*6)+(26.55*0.15*8),2)</f>
        <v>315.15</v>
      </c>
      <c r="K82" s="257">
        <v>17.17</v>
      </c>
      <c r="L82" s="257">
        <f t="shared" si="9"/>
        <v>5411.13</v>
      </c>
      <c r="M82" s="7"/>
      <c r="N82" s="258" t="s">
        <v>381</v>
      </c>
      <c r="O82" s="310"/>
    </row>
    <row r="83" spans="2:18" s="246" customFormat="1" ht="45" customHeight="1">
      <c r="B83" s="275" t="s">
        <v>282</v>
      </c>
      <c r="C83" s="254" t="s">
        <v>283</v>
      </c>
      <c r="D83" s="255" t="s">
        <v>284</v>
      </c>
      <c r="E83" s="255"/>
      <c r="F83" s="255"/>
      <c r="G83" s="255"/>
      <c r="H83" s="255"/>
      <c r="I83" s="253" t="s">
        <v>17</v>
      </c>
      <c r="J83" s="256">
        <f>ROUND((1*2.4*2*2)+(4.4*1*2)+(1.2*2.4*2)+(3.2*1.6*2),2)</f>
        <v>34.4</v>
      </c>
      <c r="K83" s="257">
        <v>14.03</v>
      </c>
      <c r="L83" s="257">
        <f t="shared" si="9"/>
        <v>482.63</v>
      </c>
      <c r="M83" s="7"/>
      <c r="N83" s="258" t="s">
        <v>285</v>
      </c>
      <c r="O83" s="311"/>
      <c r="P83" s="311"/>
      <c r="Q83" s="311"/>
      <c r="R83" s="311"/>
    </row>
    <row r="84" spans="2:14" s="246" customFormat="1" ht="120" customHeight="1">
      <c r="B84" s="275" t="s">
        <v>286</v>
      </c>
      <c r="C84" s="254" t="s">
        <v>287</v>
      </c>
      <c r="D84" s="255" t="s">
        <v>288</v>
      </c>
      <c r="E84" s="255" t="s">
        <v>289</v>
      </c>
      <c r="F84" s="255" t="s">
        <v>289</v>
      </c>
      <c r="G84" s="255" t="s">
        <v>289</v>
      </c>
      <c r="H84" s="255" t="s">
        <v>289</v>
      </c>
      <c r="I84" s="253" t="s">
        <v>17</v>
      </c>
      <c r="J84" s="256">
        <f>ROUND((0.9*2.2*2*4)+(0.2*0.7*16)+(0.8+0.8+2+11)+(0.2*0.7*44)+(1.2*1.2*2*10)+(0.2*0.7*40)+(0.8*1.2*2*2)+(0.2*0.7*8)+(0.4*0.4*2*80)+(0.2*0.45*320)+(0.4*0.4*5)+(0.5*1.5*2)+(0.2*0.7*4)+(4.1*0.6),2)</f>
        <v>137.92</v>
      </c>
      <c r="K84" s="257">
        <v>13.84</v>
      </c>
      <c r="L84" s="257">
        <f t="shared" si="9"/>
        <v>1908.81</v>
      </c>
      <c r="M84" s="7"/>
      <c r="N84" s="258" t="s">
        <v>290</v>
      </c>
    </row>
    <row r="85" spans="2:14" s="237" customFormat="1" ht="9.75" customHeight="1">
      <c r="B85" s="301"/>
      <c r="C85" s="302"/>
      <c r="D85" s="303"/>
      <c r="E85" s="303"/>
      <c r="F85" s="303"/>
      <c r="G85" s="303"/>
      <c r="H85" s="303"/>
      <c r="I85" s="304"/>
      <c r="J85" s="305"/>
      <c r="K85" s="305"/>
      <c r="L85" s="305"/>
      <c r="M85" s="7"/>
      <c r="N85" s="306"/>
    </row>
    <row r="86" spans="2:14" s="237" customFormat="1" ht="30" customHeight="1">
      <c r="B86" s="238" t="s">
        <v>291</v>
      </c>
      <c r="C86" s="239"/>
      <c r="D86" s="294" t="s">
        <v>292</v>
      </c>
      <c r="E86" s="294"/>
      <c r="F86" s="294"/>
      <c r="G86" s="294"/>
      <c r="H86" s="294"/>
      <c r="I86" s="241"/>
      <c r="J86" s="241"/>
      <c r="K86" s="241"/>
      <c r="L86" s="243">
        <f>SUM(L87:L88)</f>
        <v>3080.16</v>
      </c>
      <c r="M86" s="7"/>
      <c r="N86" s="284"/>
    </row>
    <row r="87" spans="2:14" s="246" customFormat="1" ht="30" customHeight="1">
      <c r="B87" s="307" t="s">
        <v>293</v>
      </c>
      <c r="C87" s="312" t="s">
        <v>294</v>
      </c>
      <c r="D87" s="313" t="s">
        <v>295</v>
      </c>
      <c r="E87" s="313" t="s">
        <v>296</v>
      </c>
      <c r="F87" s="313" t="s">
        <v>296</v>
      </c>
      <c r="G87" s="313" t="s">
        <v>296</v>
      </c>
      <c r="H87" s="313" t="s">
        <v>296</v>
      </c>
      <c r="I87" s="247" t="s">
        <v>17</v>
      </c>
      <c r="J87" s="250">
        <v>35</v>
      </c>
      <c r="K87" s="251">
        <v>62.75</v>
      </c>
      <c r="L87" s="251">
        <f aca="true" t="shared" si="10" ref="L87:L88">ROUND(J87*K87,2)</f>
        <v>2196.25</v>
      </c>
      <c r="M87" s="7"/>
      <c r="N87" s="258" t="s">
        <v>297</v>
      </c>
    </row>
    <row r="88" spans="2:14" s="246" customFormat="1" ht="15" customHeight="1">
      <c r="B88" s="275" t="s">
        <v>298</v>
      </c>
      <c r="C88" s="254" t="s">
        <v>382</v>
      </c>
      <c r="D88" s="290" t="s">
        <v>383</v>
      </c>
      <c r="E88" s="290"/>
      <c r="F88" s="290"/>
      <c r="G88" s="290"/>
      <c r="H88" s="290"/>
      <c r="I88" s="253" t="s">
        <v>17</v>
      </c>
      <c r="J88" s="256">
        <f>ROUND((8.7*26.55)-(J87),2)</f>
        <v>195.99</v>
      </c>
      <c r="K88" s="257">
        <v>4.51</v>
      </c>
      <c r="L88" s="257">
        <f t="shared" si="10"/>
        <v>883.91</v>
      </c>
      <c r="M88" s="7"/>
      <c r="N88" s="258" t="s">
        <v>301</v>
      </c>
    </row>
    <row r="92" ht="14.25">
      <c r="L92" s="314"/>
    </row>
  </sheetData>
  <sheetProtection selectLockedCells="1" selectUnlockedCells="1"/>
  <mergeCells count="78">
    <mergeCell ref="D3:E7"/>
    <mergeCell ref="G7:H7"/>
    <mergeCell ref="B10:N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9:H29"/>
    <mergeCell ref="D30:H30"/>
    <mergeCell ref="D31:H31"/>
    <mergeCell ref="D32:H32"/>
    <mergeCell ref="D33:H33"/>
    <mergeCell ref="D34:H34"/>
    <mergeCell ref="D35:H35"/>
    <mergeCell ref="D36:H36"/>
    <mergeCell ref="D37:H37"/>
    <mergeCell ref="D38:H38"/>
    <mergeCell ref="P38:Q38"/>
    <mergeCell ref="D39:H39"/>
    <mergeCell ref="D40:H40"/>
    <mergeCell ref="D41:H41"/>
    <mergeCell ref="D42:H42"/>
    <mergeCell ref="D43:H43"/>
    <mergeCell ref="D45:H45"/>
    <mergeCell ref="D46:H46"/>
    <mergeCell ref="D47:H47"/>
    <mergeCell ref="D48:H48"/>
    <mergeCell ref="M48:M49"/>
    <mergeCell ref="D49:H49"/>
    <mergeCell ref="D50:H50"/>
    <mergeCell ref="D51:H51"/>
    <mergeCell ref="D52:H52"/>
    <mergeCell ref="D54:H54"/>
    <mergeCell ref="D55:H55"/>
    <mergeCell ref="D56:H56"/>
    <mergeCell ref="D57:H57"/>
    <mergeCell ref="D58:H58"/>
    <mergeCell ref="D59:H59"/>
    <mergeCell ref="P59:Q59"/>
    <mergeCell ref="D60:H60"/>
    <mergeCell ref="D61:H61"/>
    <mergeCell ref="D62:H62"/>
    <mergeCell ref="D63:H63"/>
    <mergeCell ref="D65:H65"/>
    <mergeCell ref="D66:H66"/>
    <mergeCell ref="D67:H67"/>
    <mergeCell ref="D68:H68"/>
    <mergeCell ref="D69:H69"/>
    <mergeCell ref="D70:H70"/>
    <mergeCell ref="P70:R70"/>
    <mergeCell ref="D71:H71"/>
    <mergeCell ref="D72:H72"/>
    <mergeCell ref="D73:H73"/>
    <mergeCell ref="D75:H75"/>
    <mergeCell ref="D76:H76"/>
    <mergeCell ref="D77:H77"/>
    <mergeCell ref="D79:H79"/>
    <mergeCell ref="D80:H80"/>
    <mergeCell ref="D81:H81"/>
    <mergeCell ref="D82:H82"/>
    <mergeCell ref="D83:H83"/>
    <mergeCell ref="O83:R83"/>
    <mergeCell ref="D84:H84"/>
    <mergeCell ref="D86:H86"/>
    <mergeCell ref="D87:H87"/>
    <mergeCell ref="D88:H88"/>
  </mergeCells>
  <printOptions/>
  <pageMargins left="0" right="0" top="0.19652777777777777" bottom="0.19652777777777777"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K22" sqref="K22"/>
    </sheetView>
  </sheetViews>
  <sheetFormatPr defaultColWidth="9.140625" defaultRowHeight="12.75"/>
  <cols>
    <col min="1" max="1" width="3.7109375" style="315" customWidth="1"/>
    <col min="2" max="2" width="30.7109375" style="315" customWidth="1"/>
    <col min="3" max="8" width="5.7109375" style="315" customWidth="1"/>
    <col min="9" max="16" width="9.140625" style="316" customWidth="1"/>
    <col min="17" max="16384" width="9.140625" style="315" customWidth="1"/>
  </cols>
  <sheetData>
    <row r="1" spans="1:8" ht="19.5" customHeight="1">
      <c r="A1" s="317" t="s">
        <v>384</v>
      </c>
      <c r="B1" s="317"/>
      <c r="C1" s="317"/>
      <c r="D1" s="317"/>
      <c r="E1" s="317"/>
      <c r="F1" s="317"/>
      <c r="G1" s="317"/>
      <c r="H1" s="317"/>
    </row>
    <row r="2" spans="1:8" ht="19.5" customHeight="1">
      <c r="A2" s="317"/>
      <c r="B2" s="317"/>
      <c r="C2" s="317"/>
      <c r="D2" s="317"/>
      <c r="E2" s="317"/>
      <c r="F2" s="317"/>
      <c r="G2" s="317"/>
      <c r="H2" s="317"/>
    </row>
    <row r="3" spans="1:8" ht="15" customHeight="1">
      <c r="A3" s="318" t="s">
        <v>385</v>
      </c>
      <c r="B3" s="318"/>
      <c r="C3" s="319" t="s">
        <v>386</v>
      </c>
      <c r="D3" s="319"/>
      <c r="E3" s="319"/>
      <c r="F3" s="319"/>
      <c r="G3" s="319"/>
      <c r="H3" s="319"/>
    </row>
    <row r="4" spans="1:8" ht="15" customHeight="1">
      <c r="A4" s="318"/>
      <c r="B4" s="318"/>
      <c r="C4" s="320">
        <v>10</v>
      </c>
      <c r="D4" s="321">
        <v>20</v>
      </c>
      <c r="E4" s="322">
        <v>30</v>
      </c>
      <c r="F4" s="320">
        <v>40</v>
      </c>
      <c r="G4" s="321">
        <v>50</v>
      </c>
      <c r="H4" s="323">
        <v>60</v>
      </c>
    </row>
    <row r="5" spans="1:8" ht="15" customHeight="1">
      <c r="A5" s="324"/>
      <c r="B5" s="325"/>
      <c r="C5" s="326"/>
      <c r="D5" s="327"/>
      <c r="E5" s="328"/>
      <c r="F5" s="326"/>
      <c r="G5" s="327"/>
      <c r="H5" s="329"/>
    </row>
    <row r="6" spans="1:8" ht="15" customHeight="1">
      <c r="A6" s="330" t="s">
        <v>10</v>
      </c>
      <c r="B6" s="331" t="s">
        <v>11</v>
      </c>
      <c r="C6" s="332"/>
      <c r="D6" s="333"/>
      <c r="E6" s="334"/>
      <c r="F6" s="332"/>
      <c r="G6" s="333"/>
      <c r="H6" s="335"/>
    </row>
    <row r="7" spans="1:8" ht="15" customHeight="1">
      <c r="A7" s="330"/>
      <c r="B7" s="336"/>
      <c r="C7" s="337"/>
      <c r="D7" s="338"/>
      <c r="E7" s="339"/>
      <c r="F7" s="337"/>
      <c r="G7" s="338"/>
      <c r="H7" s="340"/>
    </row>
    <row r="8" spans="1:8" ht="15" customHeight="1">
      <c r="A8" s="330" t="s">
        <v>79</v>
      </c>
      <c r="B8" s="331" t="s">
        <v>80</v>
      </c>
      <c r="C8" s="341"/>
      <c r="D8" s="341"/>
      <c r="E8" s="341"/>
      <c r="F8" s="342"/>
      <c r="G8" s="338"/>
      <c r="H8" s="343"/>
    </row>
    <row r="9" spans="1:8" ht="15" customHeight="1">
      <c r="A9" s="330"/>
      <c r="B9" s="336"/>
      <c r="C9" s="337"/>
      <c r="D9" s="338"/>
      <c r="E9" s="339"/>
      <c r="F9" s="337"/>
      <c r="G9" s="338"/>
      <c r="H9" s="340"/>
    </row>
    <row r="10" spans="1:8" ht="15" customHeight="1">
      <c r="A10" s="330" t="s">
        <v>141</v>
      </c>
      <c r="B10" s="344" t="s">
        <v>142</v>
      </c>
      <c r="C10" s="345"/>
      <c r="D10" s="346"/>
      <c r="E10" s="341"/>
      <c r="F10" s="347"/>
      <c r="G10" s="348"/>
      <c r="H10" s="343"/>
    </row>
    <row r="11" spans="1:8" s="316" customFormat="1" ht="15" customHeight="1">
      <c r="A11" s="330"/>
      <c r="B11" s="344"/>
      <c r="C11" s="337"/>
      <c r="D11" s="338"/>
      <c r="E11" s="339"/>
      <c r="F11" s="337"/>
      <c r="G11" s="338"/>
      <c r="H11" s="340"/>
    </row>
    <row r="12" spans="1:8" ht="15" customHeight="1">
      <c r="A12" s="330" t="s">
        <v>176</v>
      </c>
      <c r="B12" s="344" t="s">
        <v>177</v>
      </c>
      <c r="C12" s="345"/>
      <c r="D12" s="346"/>
      <c r="E12" s="349"/>
      <c r="F12" s="347"/>
      <c r="G12" s="348"/>
      <c r="H12" s="350"/>
    </row>
    <row r="13" spans="1:8" s="316" customFormat="1" ht="15" customHeight="1">
      <c r="A13" s="330"/>
      <c r="B13" s="344"/>
      <c r="C13" s="337"/>
      <c r="D13" s="338"/>
      <c r="E13" s="339"/>
      <c r="F13" s="337"/>
      <c r="G13" s="338"/>
      <c r="H13" s="340"/>
    </row>
    <row r="14" spans="1:8" ht="15" customHeight="1">
      <c r="A14" s="330" t="s">
        <v>218</v>
      </c>
      <c r="B14" s="344" t="s">
        <v>387</v>
      </c>
      <c r="C14" s="345"/>
      <c r="D14" s="346"/>
      <c r="E14" s="341"/>
      <c r="F14" s="347"/>
      <c r="G14" s="338"/>
      <c r="H14" s="343"/>
    </row>
    <row r="15" spans="1:8" s="316" customFormat="1" ht="15" customHeight="1">
      <c r="A15" s="330"/>
      <c r="B15" s="344"/>
      <c r="C15" s="337"/>
      <c r="D15" s="338"/>
      <c r="E15" s="339"/>
      <c r="F15" s="337"/>
      <c r="G15" s="338"/>
      <c r="H15" s="340"/>
    </row>
    <row r="16" spans="1:8" ht="15" customHeight="1">
      <c r="A16" s="330" t="s">
        <v>255</v>
      </c>
      <c r="B16" s="344" t="s">
        <v>256</v>
      </c>
      <c r="C16" s="345"/>
      <c r="D16" s="346"/>
      <c r="E16" s="341"/>
      <c r="F16" s="347"/>
      <c r="G16" s="348"/>
      <c r="H16" s="343"/>
    </row>
    <row r="17" spans="1:8" s="316" customFormat="1" ht="15" customHeight="1">
      <c r="A17" s="330"/>
      <c r="B17" s="344"/>
      <c r="C17" s="337"/>
      <c r="D17" s="338"/>
      <c r="E17" s="339"/>
      <c r="F17" s="337"/>
      <c r="G17" s="338"/>
      <c r="H17" s="340"/>
    </row>
    <row r="18" spans="1:8" ht="15" customHeight="1">
      <c r="A18" s="330" t="s">
        <v>266</v>
      </c>
      <c r="B18" s="344" t="s">
        <v>267</v>
      </c>
      <c r="C18" s="345"/>
      <c r="D18" s="346"/>
      <c r="E18" s="349"/>
      <c r="F18" s="347"/>
      <c r="G18" s="348"/>
      <c r="H18" s="350"/>
    </row>
    <row r="19" spans="1:8" s="316" customFormat="1" ht="15" customHeight="1">
      <c r="A19" s="330"/>
      <c r="B19" s="344"/>
      <c r="C19" s="337"/>
      <c r="D19" s="338"/>
      <c r="E19" s="339"/>
      <c r="F19" s="337"/>
      <c r="G19" s="338"/>
      <c r="H19" s="340"/>
    </row>
    <row r="20" spans="1:8" ht="15" customHeight="1">
      <c r="A20" s="330" t="s">
        <v>291</v>
      </c>
      <c r="B20" s="344" t="s">
        <v>292</v>
      </c>
      <c r="C20" s="345"/>
      <c r="D20" s="346"/>
      <c r="E20" s="349"/>
      <c r="F20" s="342"/>
      <c r="G20" s="338"/>
      <c r="H20" s="350"/>
    </row>
    <row r="21" spans="1:8" ht="15" customHeight="1">
      <c r="A21" s="351"/>
      <c r="B21" s="352"/>
      <c r="C21" s="353"/>
      <c r="D21" s="354"/>
      <c r="E21" s="355"/>
      <c r="F21" s="353"/>
      <c r="G21" s="354"/>
      <c r="H21" s="356"/>
    </row>
    <row r="22" s="316" customFormat="1" ht="12.75"/>
    <row r="23" s="316" customFormat="1" ht="12.75"/>
    <row r="24" s="316" customFormat="1" ht="12.75"/>
    <row r="25" s="316" customFormat="1" ht="12.75"/>
    <row r="26" s="316" customFormat="1" ht="12.75"/>
    <row r="27" s="316" customFormat="1" ht="12.75"/>
    <row r="28" s="316" customFormat="1" ht="12.75"/>
    <row r="29" s="316" customFormat="1" ht="12.75"/>
    <row r="30" s="316" customFormat="1" ht="12.75"/>
    <row r="31" s="316" customFormat="1" ht="12.75"/>
    <row r="32" s="316" customFormat="1" ht="12.75"/>
    <row r="33" s="316" customFormat="1" ht="12.75"/>
    <row r="34" s="316" customFormat="1" ht="12.75"/>
    <row r="35" s="316" customFormat="1" ht="12.75"/>
    <row r="36" s="316" customFormat="1" ht="12.75"/>
    <row r="37" s="316" customFormat="1" ht="12.75"/>
    <row r="38" s="316" customFormat="1" ht="12.75"/>
    <row r="39" s="316" customFormat="1" ht="12.75"/>
    <row r="40" s="316" customFormat="1" ht="12.75"/>
    <row r="41" s="316" customFormat="1" ht="12.75"/>
    <row r="42" s="316" customFormat="1" ht="12.75"/>
    <row r="43" s="316" customFormat="1" ht="12.75"/>
  </sheetData>
  <sheetProtection selectLockedCells="1" selectUnlockedCells="1"/>
  <mergeCells count="3">
    <mergeCell ref="A1:H2"/>
    <mergeCell ref="A3:B4"/>
    <mergeCell ref="C3:H3"/>
  </mergeCells>
  <printOptions/>
  <pageMargins left="0.7875" right="0.7875" top="0.7875"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A3" sqref="A3"/>
    </sheetView>
  </sheetViews>
  <sheetFormatPr defaultColWidth="9.140625" defaultRowHeight="12.75"/>
  <cols>
    <col min="1" max="1" width="6.7109375" style="357" customWidth="1"/>
    <col min="2" max="7" width="12.7109375" style="357" customWidth="1"/>
    <col min="8" max="16" width="9.140625" style="176" customWidth="1"/>
  </cols>
  <sheetData>
    <row r="1" spans="1:7" ht="15" customHeight="1">
      <c r="A1" s="358" t="s">
        <v>388</v>
      </c>
      <c r="B1" s="358"/>
      <c r="C1" s="358"/>
      <c r="D1" s="358"/>
      <c r="E1" s="358"/>
      <c r="F1" s="358"/>
      <c r="G1" s="358"/>
    </row>
    <row r="2" spans="1:7" ht="30" customHeight="1">
      <c r="A2" s="358"/>
      <c r="B2" s="358"/>
      <c r="C2" s="358"/>
      <c r="D2" s="358"/>
      <c r="E2" s="358"/>
      <c r="F2" s="358"/>
      <c r="G2" s="358"/>
    </row>
    <row r="3" spans="1:7" ht="30" customHeight="1">
      <c r="A3" s="359" t="s">
        <v>389</v>
      </c>
      <c r="B3" s="360" t="s">
        <v>390</v>
      </c>
      <c r="C3" s="361" t="s">
        <v>391</v>
      </c>
      <c r="D3" s="362" t="s">
        <v>392</v>
      </c>
      <c r="E3" s="362"/>
      <c r="F3" s="363" t="s">
        <v>393</v>
      </c>
      <c r="G3" s="363"/>
    </row>
    <row r="4" spans="1:7" ht="30" customHeight="1">
      <c r="A4" s="359"/>
      <c r="B4" s="360"/>
      <c r="C4" s="361"/>
      <c r="D4" s="364">
        <v>30</v>
      </c>
      <c r="E4" s="365">
        <f>D4+30</f>
        <v>60</v>
      </c>
      <c r="F4" s="366">
        <v>30</v>
      </c>
      <c r="G4" s="367">
        <f>F4+30</f>
        <v>60</v>
      </c>
    </row>
    <row r="5" spans="1:7" ht="30" customHeight="1">
      <c r="A5" s="368" t="s">
        <v>10</v>
      </c>
      <c r="B5" s="369">
        <v>39498.63</v>
      </c>
      <c r="C5" s="370">
        <f aca="true" t="shared" si="0" ref="C5:C12">B5*1.1858</f>
        <v>46837.47545399999</v>
      </c>
      <c r="D5" s="371">
        <f>3/6</f>
        <v>0.5</v>
      </c>
      <c r="E5" s="372">
        <f>3/6</f>
        <v>0.5</v>
      </c>
      <c r="F5" s="369">
        <f>$C$5*D5</f>
        <v>23418.737726999996</v>
      </c>
      <c r="G5" s="370">
        <f>$C$5*E5</f>
        <v>23418.737726999996</v>
      </c>
    </row>
    <row r="6" spans="1:7" ht="30" customHeight="1">
      <c r="A6" s="373" t="s">
        <v>79</v>
      </c>
      <c r="B6" s="374">
        <v>6828.12</v>
      </c>
      <c r="C6" s="375">
        <f t="shared" si="0"/>
        <v>8096.784696</v>
      </c>
      <c r="D6" s="376">
        <f>3/3</f>
        <v>1</v>
      </c>
      <c r="E6" s="377">
        <v>0</v>
      </c>
      <c r="F6" s="374">
        <f>$C$6*D6</f>
        <v>8096.784696</v>
      </c>
      <c r="G6" s="375">
        <f>$C$6*E6</f>
        <v>0</v>
      </c>
    </row>
    <row r="7" spans="1:7" ht="30" customHeight="1">
      <c r="A7" s="373" t="s">
        <v>141</v>
      </c>
      <c r="B7" s="374">
        <v>8878.52</v>
      </c>
      <c r="C7" s="375">
        <f t="shared" si="0"/>
        <v>10528.149016</v>
      </c>
      <c r="D7" s="376">
        <f>1/3</f>
        <v>0.3333333333333333</v>
      </c>
      <c r="E7" s="378">
        <f>2/3</f>
        <v>0.6666666666666666</v>
      </c>
      <c r="F7" s="374">
        <f aca="true" t="shared" si="1" ref="F7:F10">C7*D7</f>
        <v>3509.383005333333</v>
      </c>
      <c r="G7" s="375">
        <f aca="true" t="shared" si="2" ref="G7:G12">C7*E7</f>
        <v>7018.766010666666</v>
      </c>
    </row>
    <row r="8" spans="1:7" ht="30" customHeight="1">
      <c r="A8" s="373" t="s">
        <v>176</v>
      </c>
      <c r="B8" s="374">
        <v>1766.61</v>
      </c>
      <c r="C8" s="375">
        <f t="shared" si="0"/>
        <v>2094.846138</v>
      </c>
      <c r="D8" s="376">
        <v>0</v>
      </c>
      <c r="E8" s="378">
        <f>3/3</f>
        <v>1</v>
      </c>
      <c r="F8" s="374">
        <f t="shared" si="1"/>
        <v>0</v>
      </c>
      <c r="G8" s="375">
        <f t="shared" si="2"/>
        <v>2094.846138</v>
      </c>
    </row>
    <row r="9" spans="1:7" ht="30" customHeight="1">
      <c r="A9" s="373" t="s">
        <v>218</v>
      </c>
      <c r="B9" s="374">
        <v>1196.64</v>
      </c>
      <c r="C9" s="375">
        <f t="shared" si="0"/>
        <v>1418.9757120000002</v>
      </c>
      <c r="D9" s="376">
        <f>1/2</f>
        <v>0.5</v>
      </c>
      <c r="E9" s="378">
        <f>1/2</f>
        <v>0.5</v>
      </c>
      <c r="F9" s="374">
        <f t="shared" si="1"/>
        <v>709.4878560000001</v>
      </c>
      <c r="G9" s="375">
        <f t="shared" si="2"/>
        <v>709.4878560000001</v>
      </c>
    </row>
    <row r="10" spans="1:7" ht="30" customHeight="1">
      <c r="A10" s="373" t="s">
        <v>255</v>
      </c>
      <c r="B10" s="374">
        <v>12688.03</v>
      </c>
      <c r="C10" s="375">
        <f t="shared" si="0"/>
        <v>15045.465974</v>
      </c>
      <c r="D10" s="376">
        <f>1/3</f>
        <v>0.3333333333333333</v>
      </c>
      <c r="E10" s="378">
        <f>2/3</f>
        <v>0.6666666666666666</v>
      </c>
      <c r="F10" s="374">
        <f t="shared" si="1"/>
        <v>5015.155324666666</v>
      </c>
      <c r="G10" s="375">
        <f t="shared" si="2"/>
        <v>10030.310649333333</v>
      </c>
    </row>
    <row r="11" spans="1:7" ht="30" customHeight="1">
      <c r="A11" s="373" t="s">
        <v>266</v>
      </c>
      <c r="B11" s="374">
        <v>31082.98</v>
      </c>
      <c r="C11" s="375">
        <f t="shared" si="0"/>
        <v>36858.197684</v>
      </c>
      <c r="D11" s="376">
        <v>0</v>
      </c>
      <c r="E11" s="378">
        <f>3/3</f>
        <v>1</v>
      </c>
      <c r="F11" s="374">
        <f>$C$6*D11</f>
        <v>0</v>
      </c>
      <c r="G11" s="375">
        <f t="shared" si="2"/>
        <v>36858.197684</v>
      </c>
    </row>
    <row r="12" spans="1:7" ht="30" customHeight="1">
      <c r="A12" s="379" t="s">
        <v>291</v>
      </c>
      <c r="B12" s="380">
        <v>3207.56</v>
      </c>
      <c r="C12" s="381">
        <f t="shared" si="0"/>
        <v>3803.5246479999996</v>
      </c>
      <c r="D12" s="376">
        <v>0</v>
      </c>
      <c r="E12" s="378">
        <f>1/1</f>
        <v>1</v>
      </c>
      <c r="F12" s="374">
        <f>C12*D12</f>
        <v>0</v>
      </c>
      <c r="G12" s="375">
        <f t="shared" si="2"/>
        <v>3803.5246479999996</v>
      </c>
    </row>
    <row r="13" spans="1:7" ht="30" customHeight="1">
      <c r="A13" s="382" t="s">
        <v>394</v>
      </c>
      <c r="B13" s="383">
        <f>ROUND(SUM(B5:B12),2)</f>
        <v>105147.09</v>
      </c>
      <c r="C13" s="383">
        <f>ROUND(SUM(C5:C12),2)</f>
        <v>124683.42</v>
      </c>
      <c r="D13" s="384"/>
      <c r="E13" s="384"/>
      <c r="F13" s="383">
        <f>ROUND(SUM(F5:F12),2)</f>
        <v>40749.55</v>
      </c>
      <c r="G13" s="383">
        <f>ROUND(SUM(G5:G12),2)</f>
        <v>83933.87</v>
      </c>
    </row>
    <row r="14" s="176" customFormat="1" ht="12.75"/>
    <row r="15" s="176" customFormat="1" ht="12.75"/>
    <row r="16" spans="6:7" s="176" customFormat="1" ht="12.75">
      <c r="F16" s="385">
        <f>F13+G13</f>
        <v>124683.42</v>
      </c>
      <c r="G16" s="385"/>
    </row>
    <row r="17" spans="6:7" s="176" customFormat="1" ht="12.75">
      <c r="F17" s="385"/>
      <c r="G17" s="385"/>
    </row>
    <row r="18" s="176" customFormat="1" ht="12.75"/>
    <row r="19" s="176" customFormat="1" ht="12.75"/>
    <row r="20" s="176" customFormat="1" ht="12.75">
      <c r="E20" s="386"/>
    </row>
    <row r="21" s="176" customFormat="1" ht="12.75"/>
    <row r="22" s="176" customFormat="1" ht="12.75"/>
    <row r="23" s="176" customFormat="1" ht="12.75">
      <c r="B23" s="387">
        <v>45099.12</v>
      </c>
    </row>
    <row r="24" spans="2:7" s="176" customFormat="1" ht="12.75">
      <c r="B24" s="387">
        <v>173375.63</v>
      </c>
      <c r="G24" s="388">
        <v>304332.21</v>
      </c>
    </row>
    <row r="25" s="176" customFormat="1" ht="12.75">
      <c r="B25" s="387">
        <v>38172.42</v>
      </c>
    </row>
    <row r="26" s="176" customFormat="1" ht="12.75"/>
    <row r="27" s="176" customFormat="1" ht="12.75"/>
    <row r="28" s="176" customFormat="1" ht="12.75"/>
    <row r="29" s="176" customFormat="1" ht="12.75"/>
    <row r="30" s="176" customFormat="1" ht="12.75"/>
    <row r="31" s="176" customFormat="1" ht="12.75"/>
    <row r="32" s="176" customFormat="1" ht="12.75"/>
    <row r="33" s="176" customFormat="1" ht="12.75"/>
    <row r="34" s="176" customFormat="1" ht="12.75"/>
    <row r="35" s="176" customFormat="1" ht="12.75"/>
    <row r="36" s="176" customFormat="1" ht="12.75"/>
    <row r="37" s="176" customFormat="1" ht="12.75"/>
    <row r="38" s="176" customFormat="1" ht="12.75"/>
    <row r="39" s="176" customFormat="1" ht="12.75"/>
    <row r="40" s="176" customFormat="1" ht="12.75"/>
    <row r="41" s="176" customFormat="1" ht="12.75"/>
    <row r="42" s="176" customFormat="1" ht="12.75"/>
    <row r="43" s="176" customFormat="1" ht="12.75"/>
    <row r="44" s="176" customFormat="1" ht="12.75"/>
    <row r="45" s="176" customFormat="1" ht="12.75"/>
    <row r="46" s="176" customFormat="1" ht="12.75"/>
    <row r="47" s="176" customFormat="1" ht="12.75"/>
    <row r="48" s="176" customFormat="1" ht="12.75"/>
    <row r="49" s="176" customFormat="1" ht="12.75"/>
    <row r="50" s="176" customFormat="1" ht="12.75"/>
    <row r="51" s="176" customFormat="1" ht="12.75"/>
  </sheetData>
  <sheetProtection selectLockedCells="1" selectUnlockedCells="1"/>
  <mergeCells count="7">
    <mergeCell ref="A1:G2"/>
    <mergeCell ref="A3:A4"/>
    <mergeCell ref="B3:B4"/>
    <mergeCell ref="C3:C4"/>
    <mergeCell ref="D3:E3"/>
    <mergeCell ref="F3:G3"/>
    <mergeCell ref="F16:G17"/>
  </mergeCells>
  <printOptions/>
  <pageMargins left="0.5118055555555555" right="0.5118055555555555" top="0.78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15"/>
  <sheetViews>
    <sheetView workbookViewId="0" topLeftCell="A1">
      <selection activeCell="A3" sqref="A3"/>
    </sheetView>
  </sheetViews>
  <sheetFormatPr defaultColWidth="9.140625" defaultRowHeight="12.75"/>
  <cols>
    <col min="1" max="2" width="30.7109375" style="315" customWidth="1"/>
    <col min="3" max="3" width="20.7109375" style="315" customWidth="1"/>
    <col min="4" max="4" width="12.421875" style="316" customWidth="1"/>
    <col min="5" max="5" width="11.00390625" style="316" customWidth="1"/>
    <col min="6" max="11" width="9.140625" style="316" customWidth="1"/>
    <col min="12" max="16384" width="9.140625" style="315" customWidth="1"/>
  </cols>
  <sheetData>
    <row r="1" spans="1:3" s="390" customFormat="1" ht="15" customHeight="1">
      <c r="A1" s="389" t="s">
        <v>395</v>
      </c>
      <c r="B1" s="389"/>
      <c r="C1" s="389"/>
    </row>
    <row r="2" spans="1:3" s="391" customFormat="1" ht="15" customHeight="1">
      <c r="A2" s="389"/>
      <c r="B2" s="389"/>
      <c r="C2" s="389"/>
    </row>
    <row r="3" spans="1:11" s="395" customFormat="1" ht="34.5" customHeight="1">
      <c r="A3" s="392" t="s">
        <v>396</v>
      </c>
      <c r="B3" s="392" t="s">
        <v>33</v>
      </c>
      <c r="C3" s="393" t="s">
        <v>315</v>
      </c>
      <c r="D3" s="394"/>
      <c r="E3" s="394"/>
      <c r="F3" s="394"/>
      <c r="G3" s="394"/>
      <c r="H3" s="394"/>
      <c r="I3" s="394"/>
      <c r="J3" s="394"/>
      <c r="K3" s="394"/>
    </row>
    <row r="4" spans="1:3" ht="60" customHeight="1">
      <c r="A4" s="396" t="s">
        <v>397</v>
      </c>
      <c r="B4" s="396" t="s">
        <v>397</v>
      </c>
      <c r="C4" s="397"/>
    </row>
    <row r="5" spans="1:11" s="395" customFormat="1" ht="34.5" customHeight="1">
      <c r="A5" s="398">
        <f>A6/C6</f>
        <v>0.3268241278591813</v>
      </c>
      <c r="B5" s="398">
        <f>B6/C6</f>
        <v>0.6731758721408186</v>
      </c>
      <c r="C5" s="399">
        <f aca="true" t="shared" si="0" ref="C5:C6">A5+B5</f>
        <v>1</v>
      </c>
      <c r="D5" s="400"/>
      <c r="E5" s="394"/>
      <c r="F5" s="394"/>
      <c r="G5" s="394"/>
      <c r="H5" s="394"/>
      <c r="I5" s="394"/>
      <c r="J5" s="394"/>
      <c r="K5" s="394"/>
    </row>
    <row r="6" spans="1:11" s="395" customFormat="1" ht="34.5" customHeight="1">
      <c r="A6" s="401">
        <v>40749.55</v>
      </c>
      <c r="B6" s="401">
        <v>83933.87</v>
      </c>
      <c r="C6" s="402">
        <f t="shared" si="0"/>
        <v>124683.42</v>
      </c>
      <c r="D6" s="394"/>
      <c r="E6" s="394"/>
      <c r="F6" s="394"/>
      <c r="G6" s="394"/>
      <c r="H6" s="394"/>
      <c r="I6" s="394"/>
      <c r="J6" s="394"/>
      <c r="K6" s="394"/>
    </row>
    <row r="7" s="316" customFormat="1" ht="12.75"/>
    <row r="8" s="316" customFormat="1" ht="12.75"/>
    <row r="9" s="316" customFormat="1" ht="12.75"/>
    <row r="10" s="316" customFormat="1" ht="12.75"/>
    <row r="11" s="316" customFormat="1" ht="12.75"/>
    <row r="12" s="316" customFormat="1" ht="12.75"/>
    <row r="13" s="316" customFormat="1" ht="12.75">
      <c r="B13" s="403"/>
    </row>
    <row r="14" s="316" customFormat="1" ht="12.75"/>
    <row r="15" s="316" customFormat="1" ht="12.75">
      <c r="C15" s="388">
        <v>304332.21</v>
      </c>
    </row>
    <row r="16" s="316" customFormat="1" ht="12.75"/>
    <row r="17" s="316" customFormat="1" ht="12.75"/>
    <row r="18" s="316" customFormat="1" ht="12.75"/>
    <row r="19" s="316" customFormat="1" ht="12.75"/>
    <row r="20" s="316" customFormat="1" ht="12.75"/>
    <row r="21" s="316" customFormat="1" ht="12.75"/>
    <row r="22" s="316" customFormat="1" ht="12.75"/>
  </sheetData>
  <sheetProtection selectLockedCells="1" selectUnlockedCells="1"/>
  <mergeCells count="1">
    <mergeCell ref="A1:C2"/>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danilo.chagas</dc:creator>
  <cp:keywords/>
  <dc:description/>
  <cp:lastModifiedBy/>
  <cp:lastPrinted>2021-07-16T13:52:59Z</cp:lastPrinted>
  <dcterms:created xsi:type="dcterms:W3CDTF">2013-01-08T16:51:16Z</dcterms:created>
  <dcterms:modified xsi:type="dcterms:W3CDTF">2021-07-16T13:59:43Z</dcterms:modified>
  <cp:category/>
  <cp:version/>
  <cp:contentType/>
  <cp:contentStatus/>
  <cp:revision>1</cp:revision>
</cp:coreProperties>
</file>