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PLANILHA" sheetId="1" r:id="rId1"/>
  </sheets>
  <definedNames>
    <definedName name="_xlnm.Print_Area" localSheetId="0">'PLANILHA'!$A$1:$G$320</definedName>
    <definedName name="_xlnm.Print_Titles" localSheetId="0">'PLANILHA'!$1:$13</definedName>
  </definedNames>
  <calcPr fullCalcOnLoad="1"/>
</workbook>
</file>

<file path=xl/sharedStrings.xml><?xml version="1.0" encoding="utf-8"?>
<sst xmlns="http://schemas.openxmlformats.org/spreadsheetml/2006/main" count="1364" uniqueCount="868">
  <si>
    <t>Item</t>
  </si>
  <si>
    <t>Descrição</t>
  </si>
  <si>
    <t>Unidade</t>
  </si>
  <si>
    <t>Quantidade</t>
  </si>
  <si>
    <t>$ Unitário</t>
  </si>
  <si>
    <t>$  Parcial</t>
  </si>
  <si>
    <t>M2</t>
  </si>
  <si>
    <t>UN</t>
  </si>
  <si>
    <t>1.04</t>
  </si>
  <si>
    <t>1.05</t>
  </si>
  <si>
    <t>M2XMÊS</t>
  </si>
  <si>
    <t>M2XKM</t>
  </si>
  <si>
    <t>1.0</t>
  </si>
  <si>
    <t>1.01</t>
  </si>
  <si>
    <t>1.02</t>
  </si>
  <si>
    <t>1.03</t>
  </si>
  <si>
    <t>2.0</t>
  </si>
  <si>
    <t>3.0</t>
  </si>
  <si>
    <t>M</t>
  </si>
  <si>
    <t>CARGA E DESCARGA MANUAL DE ANDAIME TUBULAR, INCLUSIVE TEMPO DE ESPERA DO CAMINHAO, CONSIDERANDO-SE A AREA DE PROJECAO VERTICAL</t>
  </si>
  <si>
    <t>SERVIÇOS PRELIMINARES E DIVERSOS</t>
  </si>
  <si>
    <t>PINTURA</t>
  </si>
  <si>
    <t>1.06</t>
  </si>
  <si>
    <t>1.07</t>
  </si>
  <si>
    <t>PLACA DE IDENTIFICACAO DE OBRA PUBLICA, INCLUSIVE PINTURA E SUPORTES DE MADEIRA. FORNECIMENTO E COLOCACAO</t>
  </si>
  <si>
    <t>ALUGUEL DE ANDAIME COM ELEMENTOS TUBULARES (FACHADEIRO) SOBRE SAPATAS FIXAS, CONSIDERANDO-SE A AREA DA PROJECAO VERTICAL DO ANDAIME E PAGO PELO TEMPO NECESSARIO A SUA UTILIZACAO, EXCLUSIVE TRANSPORTE DOS ELEMENTOS DO ANDAIME ATE A OBRA, PLATAFORMA OU PASSARELA DE PINHO, MONTAGEM E DESMONTAGEM DOS ANDAIMES</t>
  </si>
  <si>
    <t>1.08</t>
  </si>
  <si>
    <t>02.020.0001-A</t>
  </si>
  <si>
    <t>05.006.0001-B</t>
  </si>
  <si>
    <t>05.008.0001-A</t>
  </si>
  <si>
    <t>13.002.0011-B</t>
  </si>
  <si>
    <t>17.017.0300-B</t>
  </si>
  <si>
    <t>M3</t>
  </si>
  <si>
    <t>1.09</t>
  </si>
  <si>
    <t>1.10</t>
  </si>
  <si>
    <t>1.11</t>
  </si>
  <si>
    <t>1.12</t>
  </si>
  <si>
    <t>14.004.0015-A</t>
  </si>
  <si>
    <t>MONTAGEM E DESMONTAGEM DE ANDAIME COM ELEMENTOS TUBULARES, CONSIDERANDO-SE A AREA VERTICAL RECOBERTA</t>
  </si>
  <si>
    <t>1.13</t>
  </si>
  <si>
    <t>TRANSPORTE DE CARGA DE QUALQUER NATUREZA, EXCLUSIVE AS DESPESAS DE CARGA E DESCARGA, TANTO DE ESPERA DO CAMINHAO COMO DO SERVENTE OU EQUIPAMENTO AUXILIAR, A VELOCIDADE MEDIA DE 50KM/H, EM CAMINHAO BASCULANTE A OLEO DIESEL, COM CAPACIDADE UTIL DE12T</t>
  </si>
  <si>
    <t>T X KM</t>
  </si>
  <si>
    <t>04.005.0140-A</t>
  </si>
  <si>
    <t>11.003.0001-B</t>
  </si>
  <si>
    <t>CONCRETO ARMADO, FCK=20MPA, INCLUINDO MATERIAIS PARA 1,00M3 DE CONCRETO(IMPORTADO DE USINA)ADENSADO E COLOCADO, 12,00M2 DE AREA MOLDADA, FORMAS CONFORME O ITEM 11.004.0022, 60KG DE ACOCA-50, INCLUSIVE MAO-DE-OBRA PARA CORTE, DOBRAGEM, MONTAGEM E COLOCACAO DAS FORMAS, EXCLUSIVE ESCORAMENTO</t>
  </si>
  <si>
    <t>03.013.0001-B</t>
  </si>
  <si>
    <t>QUADRO DE DISTRIBUICAO DE ENERGIA PARA DISJUNTORES TERMO-MAGNETICOS UNIPOLARES,DE EMBUTIR,COM PORTA E BARRAMENTOS DE FASE,NEUTRO E TERRA,PARA INSTALACAO DE ATE 12 DISJUNTORES SEM DISPOSITIVO PARA CHAVE GERAL.FORNECIMENTO E COLOCACAO</t>
  </si>
  <si>
    <t>Código EMOP</t>
  </si>
  <si>
    <t>ANEXO I</t>
  </si>
  <si>
    <t>UNXMES</t>
  </si>
  <si>
    <t>05.001.0070-A</t>
  </si>
  <si>
    <t>03.001.0001-B</t>
  </si>
  <si>
    <t>17.018.0117-A</t>
  </si>
  <si>
    <t>17.017.0130-A</t>
  </si>
  <si>
    <t>15.007.0575-A</t>
  </si>
  <si>
    <t>14.006.0089-A</t>
  </si>
  <si>
    <t>14.007.0075-A</t>
  </si>
  <si>
    <t>REPINTURA INTERNA OU EXTERNA SOBRE MADEIRA COM TINTA A OLEO BRILHANTE OU ACETINADA, SOBRE FUNDO SINTETICO NIVELADOR, INCLUSIVE ESTE, COM LIXAMENTO E DUAS DEMAOS DE ACABAMENTO, NA COR EXISTENTE</t>
  </si>
  <si>
    <t>PINTURA INTERNA OU EXTERNA SOBRE MADEIRA NOVA, COM TINTA A OLEO BRILHANTE OU ACETINADA COM DUAS DEMAOS DE ACABAMENTO SOBRE SUPERFICIE PREPARADA, CONFORME O ITEM 17.017.0100, EXCLUSIVE ESTE PREPARO</t>
  </si>
  <si>
    <t>17.017.0120-B</t>
  </si>
  <si>
    <t>PREPARO DE MADEIRA NOVA, INCLUSIVE LIXAMENTO, LIMPEZA, UMA DEMAO DE VERNIZ ISOLANTE INCOLOR, DUAS DEMAOS DE MASSA PARA MADEIRA, LIXAMENTO E REMOCAO DE PO, E UMA DEMAO DE FUNDO SINTETICO NIVELADOR</t>
  </si>
  <si>
    <t>FERRAGENS PARA DIVISORIAS DE MARMORE OU MARMORITE,DE SANITARIOS,CONSTANDO DE FORNECIMENTO SEM COLOCACAO(ESTA INCLUIDA NOFORNECIMENTO E COLOCACAO DA DIVISORIA),DE:-4 CANTONEIRAS DEALUMINIO PARA FIXACAO DA PLACA;-12 PARAFUSOS DE ALUMINIO DE3/4"X5/16" COM ROSCA</t>
  </si>
  <si>
    <t>14.007.0200-A</t>
  </si>
  <si>
    <t>17.017.0100-A</t>
  </si>
  <si>
    <t>15.019.0050-A</t>
  </si>
  <si>
    <t>05.001.0134-A</t>
  </si>
  <si>
    <t>20.004.0033-B</t>
  </si>
  <si>
    <t>ATERRO COMPACTADO MECANICAMENTE, EM CAMADAS DE 20CM, INCLUINDO ESPALHAMENTO E IRRIGACAO, MAS SEM O FORNECIMENTO E TRANSPORTE DO MATERIAL</t>
  </si>
  <si>
    <t>15.004.0181-A</t>
  </si>
  <si>
    <t>RALO SIFONADO DE PVC(100X100)X50MM, EM PAVIMENTO TERREO, COM TAMPA CEGA, COM 1 ENTRADA DE 40MM E SAIDA DE 50MM, INCLUSIVE LIGACAO DE 50MM DE PVC ATE A CAIXA DE INSPECAO, CONSIDERANDO ADISTANCIA DO CENTRO DO RALO ATE 2,00M. FORNECIMENTO E INSTALACAO</t>
  </si>
  <si>
    <t>ESCAVACAO MANUAL DE VALA/CAVA EM MATERIAL DE 1ª CATEGORIA (AREIA,ARGILA OU PICARRA), ATE 1,50M DE PROFUNDIDADE, EXCLUSIVE ESCORAMENTO E ESGOTAMENTO</t>
  </si>
  <si>
    <t>REATERRO DE VALA/CAVA COMPACTADA A MACO,EM CAMADAS DE 30CM DE ESPESSURA MAXIMA,COM MATERIAL DE BOA QUALIDADE,EXCLUSIVE ESTE</t>
  </si>
  <si>
    <t>06.014.0060-A</t>
  </si>
  <si>
    <t>21.015.0230-A</t>
  </si>
  <si>
    <t>21.028.0015-A</t>
  </si>
  <si>
    <t>15.007.0501-A</t>
  </si>
  <si>
    <t>17.040.0024-A</t>
  </si>
  <si>
    <t>20.111.0010-A</t>
  </si>
  <si>
    <t>11.013.0130-A</t>
  </si>
  <si>
    <t>TAPUME DE VEDACAO OU PROTECAO, EXECUTADO COM TELHAS TRAPEZOIDAIS DE ACO GALVANIZADO, ESPESSURA DE 0,5MM, ESTAS COM 2 VEZESDE UTILIZACAO, INCLUSIVE ENGRADAMENTO DE MADEIRA, UTILIZADO 2VEZES, EXCLUSIVE PINTURA</t>
  </si>
  <si>
    <t>02.002.0012-A</t>
  </si>
  <si>
    <t>04.020.0122-A</t>
  </si>
  <si>
    <t>TRANSPORTE DE ANDAIME TUBULAR, CONSIDERANDO-SE A AREA DE PROJECAO VERTICAL DO ANDAIME, EXCLUSIVE CARGA, DESCARGA E TEMPO DE ESPERA DO CAMINHAO</t>
  </si>
  <si>
    <t>04.021.0010-A</t>
  </si>
  <si>
    <t>05.005.0014-A</t>
  </si>
  <si>
    <t>PLATAFORMA OU PASSARELA DE MADEIRA DE 1ª, CONSIDERANDO-SE APROVEITAMENTO DA MADEIRA 60 VEZES, EXCLUSIVE ANDAIME OU OUTRO SUPORTE E MOVIMENTACAO</t>
  </si>
  <si>
    <t>1.14</t>
  </si>
  <si>
    <t>1.15</t>
  </si>
  <si>
    <t>1.16</t>
  </si>
  <si>
    <t>SUB-TOTAL:</t>
  </si>
  <si>
    <t>TOTAL DO ORÇAMENTO:</t>
  </si>
  <si>
    <t>REFORMA</t>
  </si>
  <si>
    <t>CONSTRUÇÃO</t>
  </si>
  <si>
    <t>CUSTOS POR CATEGORIA:</t>
  </si>
  <si>
    <t>1.17</t>
  </si>
  <si>
    <t>UR</t>
  </si>
  <si>
    <t>05.100.0900-A</t>
  </si>
  <si>
    <t>UNIDADE DE REFERENCIA PARA COMPLEMENTO DA ADMINISTRACAO LOCAL, CONSIDERANDO: CONSUMO DE AGUA, TELEFONE, ENERGIA ELETRICA, MATERIAIS DE LIMPEZA E DE ESCRITORIO, COMPUTADORES, LICENCA DE OBRA, MOVEIS E UTENSILIOS, AR CONDICIONADO, BEBEDOURO, ART, RRT, FOTOGRAFIAS, UNIFORMES, DIARIAS, EXAMES MEDICOS ADMISSIONAIS PERIODICOS E DEMISSIONAIS, CURSOS DE CAPACITACAO/TREINAMENTO E DEMAIS ITENS QUE COMPLEMENTEM AS DESPESAS NECESSARIAS, EXCL. DESPESAS COM ALIMENTACAO E TRANSPORTE DE PESSOAL</t>
  </si>
  <si>
    <t>05.001.0147-A</t>
  </si>
  <si>
    <t>SERVIÇOS DE REFORMA E AMPLIAÇÃO NA ESCOLA MUNICIPAL PROFESSORA REGINA CELI PASSOS</t>
  </si>
  <si>
    <t>01.050.0114-A</t>
  </si>
  <si>
    <t>PROJETO EXECUTIVO DE INSTALACAO ELETRICA PARA PREDIOS ESCOLARES E/OU ADMINISTRATIVOS DE 501 ATE 3.000M2,INCLUSIVE PROJETO BASICO,APRESENTADO EM AUTOCAD,INCLUSIVE AS LEGALIZACOES PERTINENTES</t>
  </si>
  <si>
    <t>02.004.0005-A</t>
  </si>
  <si>
    <t>BARRACAO DE OBRA COM DIVISAO INTERNA PARA ESCRITORIO E DEPOSITO DE MATERIAIS,PISO DE TABUAS DE MADEIRA DE 3¬ SOBRE ESTAQUEAMENTO DE PECAS DE MADEIRA DE 3¬,3"X3",PAREDES DE TABUAS DE MADEIRA DE 3¬ E COBERTURA DE TELHAS DE FIBROCIMENTO DE 6MM,INCLUSIVE INSTALACAO ELETRICA,EXCLUSIVE PINTURA,SENDO REAPROVEITADO 2 VEZES</t>
  </si>
  <si>
    <t>02.006.0050-A</t>
  </si>
  <si>
    <t>ALUGUEL DE BANHEIRO QUIMICO,PORTATIL,MEDINDO 2,31M ALTURA X1,56M LARGURA E 1,16M PROFUNDIDADE,INCLUSIVE INSTALACAO E RETIRADA DO EQUIPAMENTO,FORNECIMENTO DE QUIMICA DESODORIZANTE,BACTERICIDA E BACTERIOSTATICA,PAPEL HIGIENICO E VEICULO PROPRIO COM UNIDADE MOVEL DE SUCCAO PARA LIMPEZA</t>
  </si>
  <si>
    <t>05.105.0127-A</t>
  </si>
  <si>
    <t>MAO-DE-OBRA DE ENCARREGADO DE OBRA,INCLUSIVE ENCARGOS SOCIAIS</t>
  </si>
  <si>
    <t>MES</t>
  </si>
  <si>
    <t>05.105.0100-A</t>
  </si>
  <si>
    <t>MAO-DE-OBRA DE VIGIA,INCLUSIVE ENCARGOS SOCIAIS</t>
  </si>
  <si>
    <t>01.018.0001-A</t>
  </si>
  <si>
    <t>MARCACAO DE OBRA SEM INSTRUMENTO TOPOGRAFICO,CONSIDERADA A PROJECAO HORIZONTAL DA AREA ENVOLVENTE</t>
  </si>
  <si>
    <t>ARRANCAMENTO DE PORTAS,JANELAS E CAIXILHOS DE AR CONDICIONADO OU OUTROS</t>
  </si>
  <si>
    <t>05.001.0145-A</t>
  </si>
  <si>
    <t>ARRANCAMENTO DE APARELHOS SANITARIOS</t>
  </si>
  <si>
    <t>05.001.0146-A</t>
  </si>
  <si>
    <t>ARRANCAMENTO DE BANCADA DE PIA/LAVATORIO OU BANCA SECA DE ATE 1,00M DE ALTURA E ATE 0,80M DE LARGURA</t>
  </si>
  <si>
    <t>ARRANCAMENTO DE GRADES,GRADIS,ALAMBRADOS,CERCAS E PORTOES</t>
  </si>
  <si>
    <t>05.001.0023-A</t>
  </si>
  <si>
    <t>DEMOLICAO MANUAL DE ALVENARIA DE TIJOLOS FURADOS,INCLUSIVE EMPILHAMENTO LATERAL DENTRO DO CANTEIRO DE SERVICO</t>
  </si>
  <si>
    <t>05.001.0002-B</t>
  </si>
  <si>
    <t>DEMOLICAO MANUAL DE CONCRETO ARMADO COMPREENDENDO PILARES,VIGAS E LAJES,EM ESTRUTURA APRESENTANDO POSICAO ESPECIAL,INCLUSIVE EMPILHAMENTO LATERAL DENTRO DO CANTEIRO DE SERVICO</t>
  </si>
  <si>
    <t>05.001.0031-A</t>
  </si>
  <si>
    <t>DEMOLICAO DE PISO DE ALTA RESISTENCIA,EXCLUSIVE CAMADA DE ASSENTAMENTO(CONTRAPISO)</t>
  </si>
  <si>
    <t>05.001.0015-A</t>
  </si>
  <si>
    <t>DEMOLICAO DE PISO DE LADRILHO COM RESPECTIVA CAMADA DE ARGAMASSA DE ASSENTAMENTO,INCLUSIVE EMPILHAMENTO LATERAL DENTRO DO CANTEIRO DE SERVICO</t>
  </si>
  <si>
    <t>REMOCAO DE PAVIMENTACAO DE LAJOTAS DE CONCRETO,ALTAMENTE VIBRADO,INTERTRAVADO,PRE-FABRICADO</t>
  </si>
  <si>
    <t>04.014.0095-A</t>
  </si>
  <si>
    <t>1.18</t>
  </si>
  <si>
    <t>1.19</t>
  </si>
  <si>
    <t>1.20</t>
  </si>
  <si>
    <t>1.21</t>
  </si>
  <si>
    <t>1.22</t>
  </si>
  <si>
    <t>1.23</t>
  </si>
  <si>
    <t>1.24</t>
  </si>
  <si>
    <t>1.25</t>
  </si>
  <si>
    <t>FUNDAÇÃO E ESTRUTURA</t>
  </si>
  <si>
    <t>CONCRETO DOSADO RACIONALMENTE PARA UMA RESISTENCIA CARACTERISTICA A COMPRESSAO DE 10MPA, INCLUSIVE MATERIAIS, TRANSPORTE, PREPARO COM BETONEIRA, LANCAMENTO E ADENSAMENTO (LASTRO PARA CINTAMENTO)</t>
  </si>
  <si>
    <t>11.030.0020-A</t>
  </si>
  <si>
    <t>LAJE PRE-MOLDADA BETA 11,PARA SOBRECARGA ATE 3,5KN/M2 E VAODE 4,40M,CONSIDERANDO VIGOTAS,TIJOLOS E ARMADURA NEGATIVA,INCLUSIVE CAPEAMENTO DE 3CM DE ESPESSURA,C/CONCRETO FCK=20MPAE ESCORAMENTO.FORNECIMENTO E MONTAGEM DO CONJUNTO</t>
  </si>
  <si>
    <t>AREIA PARA A REGIAO DE CAMPOS DOS GOYTACAZES, EXCLUSIVE TRANSPORTE, INCLUSIVE CARGA NO CAMINHAO. FORNECIMENTO</t>
  </si>
  <si>
    <t>ALVENARIA E DIVISÓRIAS</t>
  </si>
  <si>
    <t>12.003.0080-A</t>
  </si>
  <si>
    <t>ALVENARIA DE TIJOLOS CERAMICOS FURADOS 10X20X20CM, ASSENTES COM ARGAMASSA DE CIMENTO E SAIBRO, NO TRACO 1:8, EM PAREDES DE MEIA VEZ(0,10M) COM VAOS OU ARESTAS, ATE 3,00M DE ALTURA E MEDIDA PELA AREA REAL</t>
  </si>
  <si>
    <t>11.013.0003-B</t>
  </si>
  <si>
    <t>12.035.0001-A</t>
  </si>
  <si>
    <t>PAREDE DIVISORIA PARA SANITARIO EM GRANITO CINZA, COM 3CM DE ESPESSURA, POLIDA NAS DUAS FACES, FIXACAO PISO OU PAREDE, EXCLUSIVE FERRAGENS PARA FIXACAO. FORNECIMENTO E COLOCACAO</t>
  </si>
  <si>
    <t>REVESTIMENTO EXTERNO,DE UMA VEZ,COM ARGAMASSA DE CIMENTO,SAIBRO MACIO E AREIA FINA,NO TRACO 1:3:3,COM ESPESSURA DE 2,5CM,INCLUSIVE CHAPISCO DE CIMENTO E AREIA,NO TRACO 1:3,COM ESPESSURA DE 9MM</t>
  </si>
  <si>
    <t>13.001.0010-B</t>
  </si>
  <si>
    <t>CHAPISCO EM SUPERFICIE DE CONCRETO OU ALVENARIA,COM ARGAMASSA DE CIMENTO E AREIA,NO TRACO 1:3,ESPESSURA DE 9MM</t>
  </si>
  <si>
    <t>13.003.0001-A</t>
  </si>
  <si>
    <t>REVESTIMENTO INTERNO,DE UMA VEZ,MASSA UNICA OU EMBOCO PAULISTA COM ARGAMASSA DE CIMENTO,CAL,SAIBRO MACIO E AREIA FINA,NOTRACO 1:4:4:4, ESPESSURA DE 2CM ACABAMENTO CAMURCADO, APLICADO SOBRE SUPERFICIE CHAPISCADA, EXCLUSIVE CHAPISCO</t>
  </si>
  <si>
    <t>13.030.0291-A</t>
  </si>
  <si>
    <t>CONCRETO DOSADO RACIONALMENTE PARA UMA RESISTENCIA CARACTERISTICA A COMPRESSAO DE 10MPA, INCLUSIVE MATERIAIS, TRANSPORTE, PREPARO COM BETONEIRA, LANCAMENTO E ADENSAMENTO (LASTRO DO CONTRAPISO)</t>
  </si>
  <si>
    <t>13.301.0125-B</t>
  </si>
  <si>
    <t>CONTRAPISO,BASE OU CAMADA REGULARIZADORA, EXECUTADA COM ARGAMASSA DE CIMENTO E AREIA, NO TRACO 1:4, NA ESPESSURA DE 3CM</t>
  </si>
  <si>
    <t>13.330.0075-A</t>
  </si>
  <si>
    <t>REVESTIMENTO DE PISO COM LADRILHO CERAMICO, ANTIDERRAPANTE, 40X40CM, SUJEITO A TRAFEGO INTENSO, RESISTENCIA A ABRASAO P.E.I.-IV, ASSENTES EM SUPERFICIE COM NATA DE CIMENTO SOBRE ARGAMASSA DE CIMENTO, AREIA E SAIBRO, NO TRACO 1:3:3, REJUNTAMENTO COM CIMENTO BRANCO E CORANTE</t>
  </si>
  <si>
    <t>13.348.0070-A</t>
  </si>
  <si>
    <t>SOLEIRA EM GRANITO CINZA ANDORINHA, ESPESSURA DE 3CM, COM 2 POLIMENTOS, LARGURA DE 13CM, ASSENTADO COM ARGAMASSA DE CIMENTO, SAIBRO E AREIA, NO TRACO 1:2:2, E REJUNTAMENTO COM CIMENTO BRANCO E CORANTE</t>
  </si>
  <si>
    <t>13.348.0050-A</t>
  </si>
  <si>
    <t>PEITORIL EM GRANITO CINZA ANDORINHA,ESPESSURA DE 2CM,LARGURA15 A 18CM,ASSENTADO COM NATA DE CIMENTO SOBRE ARGAMASSA DECIMENTO,SAIBRO E AREIA,NO TRACO 1:3:3 E REJUNTAMENTO COM CIMENTO BRANCO</t>
  </si>
  <si>
    <t>ESQUADRIAS E FERRAGENS</t>
  </si>
  <si>
    <t>INSTALAÇÕES HIDROSSANITÁRIAS, LOUÇAS E METAIS</t>
  </si>
  <si>
    <t>15.004.0133-A</t>
  </si>
  <si>
    <t>INSTALACAO E ASSENTAMENTO DE UM VASO SANITARIO E CAIXA ACOPLADA(EXCL.ESTES)EM PAVIMENTO TERREO,PARTE DE UM CONJ.DE DOISOU MAIS VASOS,COMPREENDENDO:INST.HIDRAULICA COM 1,50M DE TUBO PVC 25MM,COM CONEXOES,ATE A CAIXA ACOPLADA,LIGACAO DE ESGOTO COM 2,00M DE TUBO PVC 100MM A CAIXA DE INSPECAO E TUBO DEVENTILACAO,INCL.CONEXOES,EXCL.TUBO DE VENTILACAO</t>
  </si>
  <si>
    <t>15.004.0150-A</t>
  </si>
  <si>
    <t>INSTALACAO E ASSENTAMENTO DE UM LAVATORIO OU APARELHO DE INSTALACAO SEMELHANTE,EM BATERIA(EXCLUSIVE FORNECIMENTO DO APARELHO),COMPREENDENDO:1,00M DE TUBO DE PVC DE 32MM E 0,60M DETUBO DE PVC DE 25MM,COM CONEXOES E ESGOTAMENTO EM PVC DE 40MM,ATE O RALO SIFONADO</t>
  </si>
  <si>
    <t>18.002.0027-A</t>
  </si>
  <si>
    <t>LAVATORIO DE LOUCA BRANCA DE EMBUTIR(CUBA), TIPO MEDIO LUXO, COM LADRAO, COM MEDIDAS EM TORNO DE 52X39CM. FERRAGENS EM METALCROMADO:SIFAO 1680 1"X1.1/4", TORNEIRA DE PRESSAO 1193 DE 1/2" E VALVULA DE ESCOAMENTO 1603. RABICHO EM PVC.FORNECIMENTO</t>
  </si>
  <si>
    <t>18.016.0105-A</t>
  </si>
  <si>
    <t>18.016.0106-A</t>
  </si>
  <si>
    <t>18.016.0140-A</t>
  </si>
  <si>
    <t>BANCO ARTICULADO,COM CANTOS ARREDONDADOS E SUPERFICIE ANTIDERRAPANTE IMPERMEAVEL,DIMENSOES MINIMAS 0,45X0,70M,EM ACO INOXIDAVEL AISI 304,TUBO DE 1 1/4",PARA PESSOAS COM NECESSIDADES ESPECIFICAS.FORNCIMENTO E COLOCACAO</t>
  </si>
  <si>
    <t>18.016.0108-A</t>
  </si>
  <si>
    <t>BARRA DE APOIO EM ACO INOXIDAVEL AISI 304,TUBO DE 1 1/4",INCLUSIVE FIXACAO COM PARAFUSOS INOXIDAVEIS E BUCHAS PLASTICAS,COM 70CM,PARA PESSOAS COM NECESSIDADES ESPECIFICAS.FORNECIMENTO E COLOCACAO</t>
  </si>
  <si>
    <t>BARRA DE APOIO EM ACO INOXIDAVEL AISI 304,TUBO DE 1.1/4",INCLUSIVE FIXACAO COM PARAFUSOS INOXIDAVEIS E BUCHAS PLASTICAS,COM 50CM,PARA PESSOAS COM NECESSIDADES ESPECIFICAS.FORNECIMENTO E COLOCACAO</t>
  </si>
  <si>
    <t>BARRA DE APOIO EM ACO INOXIDAVEL AISI 304,TUBO DE 1.1/4",INCLUSIVE FIXACAO COM PARAFUSOS INOXIDAVEIS E BUCHAS PLASTICAS,COM 80CM,PARA PESSOAS COM NECESSIDADES ESPECIFICAS.FORNECIMENTO E COLOCACAO</t>
  </si>
  <si>
    <t>18.007.0090-A</t>
  </si>
  <si>
    <t>CHUVEIRO COM DESVIADOR E DUCHA MANUAL,CROMADO,PARA PESSOAS COM NECESSIDADES ESPECIFICAS.FORNECIMENTO</t>
  </si>
  <si>
    <t>18.007.0080-A</t>
  </si>
  <si>
    <t>CHUVEIRO ELETRICO EM PLASTICO,EM 110/220V,COM BRACO CROMADODE 1/2" E 1 REGISTRO DE PRESSAO 1416 DE 3/4",COM CANOPLA E VOLANTE EM METAL CROMADO.FORNECIMENTO</t>
  </si>
  <si>
    <t>15.004.0046-A</t>
  </si>
  <si>
    <t>INSTALACAO E ASSENTAMENTO DE CHUVEIRO ELETRICO (EXCLUSIVE FORNECIMENTO DO APARELHO E REGISTRO),COMPREENDENDO 5,00M DE TUBO DE PVC DE 25MM,RALO SECO DE PVC DE 100MM COM GRELHA,2,00MDE TUBO DE PVC DE 40MM,30,00M DE FIO 4MM 2,6,00M DE ELETRODUTO DE PVC DIAMETRO DE 3/4" E CONEXOES</t>
  </si>
  <si>
    <t>14.004.0100-A</t>
  </si>
  <si>
    <t>ESPELHO DE CRISTAL, 4MM DE ESPESSURA. COM MOLDURA DE MADEIRA. FORNECIMENTO E COLOCACAO</t>
  </si>
  <si>
    <t>15.065.0020-A</t>
  </si>
  <si>
    <t>LIGACAO PREDIAL DE ESGOTO SANITARIO,SEGUNDO INSTRUCOES DA CEDAE,INCLUSIVE CAIXA DE INSPECAO COM TAMPAO DE FERRO FUNDIDOLEVE,EM LOGRADOURO PAVIMENTADO,COM PARALELEPIPEDOS SOBRE COLCHOES DE AREIA OU PO-DE-PEDRA,E DOTADO DE COLETOR UNICO.ESTECUSTO INCLUI ESCAVACAO E REATERRO</t>
  </si>
  <si>
    <t>18.021.0035-A</t>
  </si>
  <si>
    <t>RESERVATORIO, EM FIBRA DE VIDRO OU POLIETILENO, COM CAPACIDADE EM TORNO DE 1.000L, INCLUSIVE TAMPA DE VEDACAO COM ESCOTILHAE FIXADORES. FORNECIMENTO</t>
  </si>
  <si>
    <t>15.028.0010-A</t>
  </si>
  <si>
    <t>COLOCACAO DE RESERVATORIO DE FIBROCIMENTO, FIBRA DE VIDRO OU SEMELHANTE COM 1000L, INCLUSIVE PECAS DE APOIO EM ALVENARIA E MADEIRA SERRADA, E FLANGES DE LIGACAO HIDRAULICA, EXCLUSIVE FORNECIMENTO DO RESERVATORIO</t>
  </si>
  <si>
    <t>18.005.0012-A</t>
  </si>
  <si>
    <t>PORTA-TOALHA DE PAPEL EM PLASTICO ABS.FORNECIMENTO E COLOCACAO</t>
  </si>
  <si>
    <t>18.005.0010-A</t>
  </si>
  <si>
    <t>SABONETEIRA EM PLASTICO ABS,PARA SABONETE LIQUIDO.FORNECIMENTO E COLOCACAO</t>
  </si>
  <si>
    <t>18.005.0013-A</t>
  </si>
  <si>
    <t>PORTA PAPEL HIGIENICO EM PLASTICO ABS.FORNECIMENTRO E COLOCACAO</t>
  </si>
  <si>
    <t>14.010.0015-A</t>
  </si>
  <si>
    <t>MASTRO METALICO EM TUBO DE FERRO GALVANIZADO DE 3" COM ALTURA DE 5,50M,EQUIPADO COM ROLDANA COM FIXACAO EM PRISMA DE CONCRETO DE 30X30X50CM.FORNECIMENTO E COLOCACAO</t>
  </si>
  <si>
    <t>CAIXA DE PASSAGEM EM ALVENARIA DE TIJOLO MACICO(7X10X20CM),EM PAREDES DE UMA VEZ (0,20M),DE 0,40X0,40X0,60M,UTILIZANDO ARGAMASSA DE CIMENTO E AREIA,NO TRACO 1:4 EM VOLUME,COM FUNDOEM CONCRETO SIMPLES PROVIDO DE CALHA INTERNA,SENDO AS PAREDES REVESTIDAS INTERNAMENTE COM A MESMA ARGAMASSA,INCLUSIVE TAMPA DE CONCRETO ARMADO,15MPA,COM ESPESSURA DE 10CM</t>
  </si>
  <si>
    <t>INSTALAÇÕES ELÉTRICAS</t>
  </si>
  <si>
    <t>18.027.0097-A</t>
  </si>
  <si>
    <t>LUMINARIA FECHADA,PARA ILUMINACAO DE QUADRAS DE ESPORTES E AFINS,PARA LAMPADA LED DE 100W,INCLUSIVE ESTA.FORNECIMENTO ECOLOCACAO</t>
  </si>
  <si>
    <t>HASTE PARA ATERRAMENTO,DE 5/8"(16MM),COM 2,50M DE COMPRIMENTO. FORNECIMENTO</t>
  </si>
  <si>
    <t>CONECTOR DE ATERRAMENTO TIPO KC 22H.FORNECIMENTO E INSTALACAO</t>
  </si>
  <si>
    <t>DISJUNTOR TERMOMAGNETICO,BIPOLAR,DE 10 A 50AX250V.FORNECIMENTO E COLOCACAO</t>
  </si>
  <si>
    <t>13.001.0026-A</t>
  </si>
  <si>
    <t>15.008.0159-A</t>
  </si>
  <si>
    <t>CABO DE COBRE COM ISOLACAO SOLIDA EXTRUDADA, COM BAIXA EMISSAO DE FUMACA, BIPOLAR, 2X4MM2, ISOLAMENTO 0,6/1KV, COMPREENDENDO: PREPARO, CORTE E ENFIACAO EM ELETRODUTOS.FORNECIMENTO E COLOCACAO</t>
  </si>
  <si>
    <t>15.036.0071-A</t>
  </si>
  <si>
    <t>ELETRODUTO DE PVC RIGIDO ROSQUEAVEL DE 1", INCLUSIVE CONEXOES E EMENDAS, EXCLUSIVE ABERTURA E FECHAMENTO DE RASGO. FORNECIMENTO E ASSENTAMENTO</t>
  </si>
  <si>
    <t>CAIXA DE PASSAGEM EM ALVENARIA DE TIJOLO MACICO(7X10X20CM), EM PAREDES DE UMA VEZ (0,20M), DE 0,40X0,40X0,60M, UTILIZANDO ARGAMASSA DE CIMENTO E AREIA, NO TRACO 1:4 EM VOLUME, COM FUNDO EM CONCRETO SIMPLES PROVIDO DE CALHA INTERNA, SENDO AS PAREDES REVESTIDAS INTERNAMENTE COM A MESMA ARGAMASSA, INCLUSIVE TAMPA DE CONCRETO ARMADO, 15MPA, COM ESPESSURA DE 10CM</t>
  </si>
  <si>
    <t>TOMADA ELETRICA 2P+T, 10A/250V, PADRAO BRASILEIRO, DE EMBUTIR, COM PLACA 4"X2". FORNECIMENTO E COLOCACAO.</t>
  </si>
  <si>
    <t>20.028.0020-A</t>
  </si>
  <si>
    <t>TAMPA PARA CAIXA COLETORA,EM CONCRETO ARMADO,INCLUSIVE TODOSOS MATERIAIS E COLOCACAO (ESPESSURA DE 6CM)</t>
  </si>
  <si>
    <t>16.005.0001-A</t>
  </si>
  <si>
    <t>COBERTURA EM TELHAS ONDULADAS DE ALUMINIO,COM ESPESSURA DE 0,5MM,SOBREPOSICAO LATERAL DE UMA ONDA E LONGITUDINAL DE 0,20M,FIXACAO COM PARAFUSOS OU HASTES DE ALUMINIO,5/16"X250MM COM ROSCA,EXCLUSIVE MADEIRAMENTO E CUMEEIRA.MEDIDA PELA AREA REAL DE COBERTURA.FORNECIMENTO E COLOCACAO</t>
  </si>
  <si>
    <t>16.005.0005-A</t>
  </si>
  <si>
    <t>CUMEEIRA DE ALUMINIO,COM ESPESSURA DE 0,8MM,0,30M DE ABA PARA CADA LADO,PARA TELHAS ONDULADAS.FORNECIMENTO E COLOCACAO</t>
  </si>
  <si>
    <t>PINTURA INTERNA OU EXTERNA SOBRE FERRO COM TINTA A OLEO BRILHANTE,INCLUSIVE LIXAMENTO,LIMPEZA,UMA DEMAO DE TINTA ANTIOXIDO E DUAS DEMAOS DE ACABAMENTO</t>
  </si>
  <si>
    <t>PINTURA DE PISO CIMENTADO LISO COM TINTA 100% ACRILICA,INCLUSIVE LIXAMENTO,LIMPEZA E TRES DEMAOS DE ACABAMENTO APLICADASA ROLO DE LA,DILUICAO EM AGUA A 20%</t>
  </si>
  <si>
    <t>INSTALACAO DE PONTO DE LUZ, EMBUTIDO NA LAJE, EQUIVALENTE A 2VARAS DE ELETRODUTO DE PVC RIGIDO DE 3/4", 12,00M DE FIO 2,5MM2, CAIXAS, CONEXOES, LUVAS, CURVA E INTERRUPTOR DE EMBUTIR COM PLACA FOSFORESCENTE, INCLUSIVE ABERTURA E FECHAMENTO DE RASGO EM ALVENARIA</t>
  </si>
  <si>
    <t>15.015.0020-A</t>
  </si>
  <si>
    <t>15.015.0050-A</t>
  </si>
  <si>
    <t>INSTALACAO DE UM CONJUNTO DE 3 PONTOS DE LUZ, EMBUTIDO NA LAJE, EQUIVALENTE A 6 VARAS DE ELETRODUTO DE PVC RIGIDO DE 3/4", 50,00M DE FIO 2,5MM2, CAIXAS, CONEXOES, LUVAS, CURVA E INTERRUPTOR DE EMBUTIR COM PLACA FOSFORESCENTE, INCLUSIVE ABERTURA E FECHAMENTO DE RASGO EM ALVENARIA</t>
  </si>
  <si>
    <t>15.015.0065-A</t>
  </si>
  <si>
    <t>INSTALACAO DE UM CONJUNTO DE 4 PONTOS DE LUZ,EMBUTIDO NA LAJE,EQUIVALENTE A 7 VARAS DE ELETRODUTO DE PVC RIGIDO DE 3/4",50,00M DE FIO 2,5MM2,CAIXAS,CONEXOES,LUVAS,CURVA E INTERRUPTOR DE EMBUTIR COM PLACA FOSFORESCENTE,INCLUSIVE ABERTURA E FECHAMENTO DE RASGO EM ALVENARIA</t>
  </si>
  <si>
    <t>MEMÓRIA DE CÁLCULO</t>
  </si>
  <si>
    <t>4,00M X 5,00M</t>
  </si>
  <si>
    <t>2.034,91 M2 - ÁREA RETIRADA PELO CAD</t>
  </si>
  <si>
    <t>4,90M X 7,45M (SANITÁRIOS DO PÁTIO) + 7,20M X 13,50M (SALAS ADMINISTRATIVAS) + 5,40M X 10,45M (SANITÁRIOS INTERNOS)</t>
  </si>
  <si>
    <t>2,00M X 3,00M</t>
  </si>
  <si>
    <t>38,80M X 2,00M (SANITÁRIOS DO PÁTIO E SALAS ADMINISTRATIVAS) + 23,20M X 2,00M (SANITÁRIOS INTERNOS) + 40,65M X 2,00M (QUADRA)</t>
  </si>
  <si>
    <t>8 MESES</t>
  </si>
  <si>
    <t>01 UNIDADE X 8 MESES</t>
  </si>
  <si>
    <t>05.006.0002-B</t>
  </si>
  <si>
    <t>ALUGUEL DE TORRE-ANDAIME TUBULAR SOBRE RODIZIOS,EXCLUSIVE ALUGUEL DOS RODIZIOS,TRANSPORTE DOS ELEMENTOS DA TORRE,PLATAFORMA OU PASSARELA DE PINHO,MONTAGEM E DESMONTAGEM</t>
  </si>
  <si>
    <t>MXMES</t>
  </si>
  <si>
    <t>05.006.0010-A</t>
  </si>
  <si>
    <t>ALUGUEL DE RODIZIOS DE FERRO,PARA TORRE TUBULAR.CUSTO PARA 4RODIZIOS</t>
  </si>
  <si>
    <t>TRANSPORTE DE ANDAIME TUBULAR,CONSIDERANDO-SE A AREA DE PROJECAO VERTICAL DO ANDAIME,EXCLUSIVE CARGA,DESCARGA E TEMPO DEESPERA DO CAMINHAO(VIDE ITEM 04.021.0010)</t>
  </si>
  <si>
    <t>05.007.0007-A</t>
  </si>
  <si>
    <t>ALUGUEL DE PASSARELA METALICA, PERFURADA, PARA ANDAIME METALICO TUBULAR, INCLUSIVE TRANSPORTE, CARGA E DESCARGA, EXCLUSIVE ANDAIME TUBULAR E MOVIMENTACAO (VIDE ITEM 05.008.0008)</t>
  </si>
  <si>
    <t>M2XMES</t>
  </si>
  <si>
    <t>05.008.0009-A</t>
  </si>
  <si>
    <t>MOVIMENTACAO HORIZONTAL DE ANDAIME COM ELEMENTOS TUBULARES TIPO TORRE</t>
  </si>
  <si>
    <t>2 TORRES X 6,50M DE ALTURA X 3 MESES</t>
  </si>
  <si>
    <t>2 UNIDADES X 3 MESES</t>
  </si>
  <si>
    <t>2 TORRES X 2,000M DE ALTURA X 6,50M DE ALTURA</t>
  </si>
  <si>
    <t>2 TORRES X 2,000M DE ALTURA X 6,50M DE ALTURA X 55KM</t>
  </si>
  <si>
    <t>2 UNIDADES X 2,00M DE COMPRIMENTO X 1,00 DE LARGURA</t>
  </si>
  <si>
    <t>ET 24.05.0150 (A)</t>
  </si>
  <si>
    <t>ESTRUTURA METÁLICA PARA COBERTURA DE QUADRA OU GALPÃO, COMPREENDENDO VIGAS TRELIÇADAS COMPOSTAS DE MEMBROS SOLDADOS EM PERFIL U DE CHAPA DOBRADA NOS BANZOS SUPERIOR, INFERIOR, MONTANTES E DIAGONAIS, COM PERFIL I 10" NAS COLUNAS E TERÇAS EM U ENRIGECIDOS, AÇO USI SAC 41, PARAFUSOS COM CABEÇA SEXTAVADA, PORCAS EM AÇO CARBONO E TIRANTE DE 1/2" INCLUINDO LUVA PARA FIXAÇÃO. PARA COBERTURAS COM VÃO MÁXIMO DE 16 M. FORNECIMENTO DE TODOS OS MATERIAIS INCLUINDO TRANSPORTE E MONTAGEM (DESONERADO)</t>
  </si>
  <si>
    <t>(24,50M DE COMPRIMENTO X 13,00M DE LARGURA</t>
  </si>
  <si>
    <t xml:space="preserve">24,50M DE COMPRIMENTO </t>
  </si>
  <si>
    <t>(13,60M X 2,85M) X 2 MESES</t>
  </si>
  <si>
    <t>(13,60M X 2,85M) X 2 LADOS</t>
  </si>
  <si>
    <t>(13,60M X 2,85M) X 55 KM</t>
  </si>
  <si>
    <t xml:space="preserve">(13,60M X 2,85M) </t>
  </si>
  <si>
    <t xml:space="preserve">(13,60M X 0,90M) </t>
  </si>
  <si>
    <t>12.007.0020-A</t>
  </si>
  <si>
    <t>PAREDE DE BLOCOS VAZADOS(COBOGO),DE CIMENTO E AREIA,COM PESODE 9,6KG,39X39X7CM,ASSENTES COMO EM 12.006.0010</t>
  </si>
  <si>
    <t>SECRETARIA / DIREÇÃO (02 LAVATÓRIOS) + DEPÓSITOS / SANITÁRIOS / SALA DA ED. INCLUSIVA (02 PIAS + 02 LAVATÓRIOS)</t>
  </si>
  <si>
    <t>SECRETARIA / DIREÇÃO (02 VASOS SANITÁRIOS) + DEPÓSITOS / SANITÁRIOS / SALA DA ED. INCLUSIVA (04 CHUVEIROS E 01 VASO SANITÁRIO)</t>
  </si>
  <si>
    <t xml:space="preserve"> MURO (01 PORTÃO DO MURO) </t>
  </si>
  <si>
    <t>SECRETARIA / DIREÇÃO (08 PORTAS + 09 JANELAS) + AUDITÓRIO (01 PORTA) + DEPÓSITOS / SANITÁRIOS / SALA DA ED. INCLUSIVA (10 PORTAS E 07 JANELAS)</t>
  </si>
  <si>
    <t>SECRETARIA / DIREÇÃO: [(43,40m + 9,60m + 2,85m + 2,85m + 4,00m + 5,80) x 3,00m x 0,10m)] + AUDITÓRIO: [(5,95m) x 3,00m x 0,10m)] + MUROS: [(2,35m + 4,95m + 5,50m) x 1,15m x 0,10m)] + DEPÓSITOS / SALA ED. INCLUSIVA / ESCOVÓDROMOS / SANITÁRIOS / COPA: [(27,94m + 3,85m + 1,65m + 5,25m + 4,55m + 2,62m + 2,90m + 7,03m + 1,90m) x 3,00m x 0,10m)] + SANITÁRIOS DOS PROFESSORES: [(4,20m x 3,00m x 0,10m)]</t>
  </si>
  <si>
    <t>SECRETARIA / DIREÇÃO: [pilares (0,12m x 0,30m x 3,00m x 25 unidades) + cinta inferiror (91,60m x 0,12m x 0,30m) + cinta superior (91,60m x 0,12m x 0,30m)] + AUDITÓRIO: [pilares(0,12m x 0,30m x 3,00m x 2 unidades) + cinta inferiror (5,95m x 0,12m x 0,30m) + cinta superior (5,95m x 0,12m x 0,30m)] + MUROS: [pilares (0,30m x 0,30m x 2,30m x 6 unidades) + cinta inferiror (12,80m x 0,20m x 0,20m) + cinta superior (12,80m x 0,30m x 0,20m)] + DEPÓSITOS / SANITÁRIOS / SALA DA ED. INCLUSIVA: pilares [(0,12m x 0,30m x 3,00m x 10 unidades) + cinta inferiror (57,69m x 0,12m x 0,30m) + cinta superior (57,69m x 0,12m x 0,30m)] + SANITÁRIO DOS PROFESSORES: pilares [(0,12m x 0,30m x 3,00m x 1 unidade) + cinta inferiror (4,20m x 0,12m x 0,30m) + cinta superior (4,20m x 0,12m x 0,30m)]</t>
  </si>
  <si>
    <t>AUDITÓRIO: 91,36M2 + SALA 04: 43,04M2 + SALA 06: 43,67M2 + SALA 07: 43,67M2 + SALA 08: 47,57M2 + SALA 09: 35,97M2 + SALA 10: 35,97M2 + SALA 11: 35,31M2 + DEPÓSITO: 7,39M2 + DEPÓSITO 01: 15,30M2 + DEPÓSITO 02: 9,90M2 + SALA 12: 35,97M2 + SALA 13: 34,18M2 + SALA 14: 35,64M2 + SALA DA XEROX: 16,30M2 + SALA DA INFORMÁTICA: 27,60M2 + DEPÓSITO A: 2,31M2 + DEPÓSITO B: 2,39M2 + SALA 15: 11,16M2 + SALA 16: 10,81M2 + SALA 17: 11,10M2 + SALA 18: 11,10M2 + COPA 02: 11,69M2 + SALA DA ED. INCLUSIVA: 15,63M2 + SALA 19: 18,74M2 + CORREDORES SALAS DE AULA: 322,33M2</t>
  </si>
  <si>
    <t>ANTIGO PRÉDIO DA DIREÇÃO / SECRETARIA / RECEPÇÃO: 62,25M2 + SANITÁRIOS FEMININO E MASCULINO PRÓXIMO AS SALAS DE AULA: 10,85M2 + COPA 01: 11,37M2 + ESCOVÓDROMO DA SALA DE ED. INCLUSIVA: 5,40M2 + WC 01: 3,30M2 + WC 02: 3,20M2 + CORREDORES DE ACESSO AS SALAS 15 A 19: 11,38M2 + COZINHA: 66,62M2 + REFEITÓRIO: 112,88M2 + ESCOVÓDROMO DO REFEITÓRIO: 13,95M2 + SALA 05: 44,23M2</t>
  </si>
  <si>
    <t>RETIRADA DE ENTULHO DE OBRA COM CACAMBA DE ACO TIPO CONTAINER COM 5M3 DE CAPACIDADE,INCLUSIVE CARREGAMENTO,TRANSPORTE E DESCARREGAMENTO.CUSTO POR UNIDADE DE CACAMBA E INCLUI A TAXA PARA DESCARGA EM LOCAIS AUTORIZADOS</t>
  </si>
  <si>
    <t>SOMATÓRIO DOS ITENS 1.19 A 1.23, CONVERTIDOS EM M3 ((42,37 + 102,12 + (976,10 X 0,005) + (345,43 X 0,01) + (123,04 X 0,06)) / CAPACIDADE DE UMA CAÇAMBA (5M3)</t>
  </si>
  <si>
    <t>09.005.0052-A</t>
  </si>
  <si>
    <t>CORTE,DESGALHAMENTO,DESTOCAMENTO E DESENRAIZAMENTO DE ARVORE,COM ALTURA ATE 3,00M,DIAMETRO EM TORNO DE 15CM,COM AUXILIODE EQUIPAMENTO MECANICO</t>
  </si>
  <si>
    <t>01 UNIDADE, LOCALIZADA NA ÁREA DE CONSTRUÇÃO DOS SANITÁRIOS DO PÁTIO</t>
  </si>
  <si>
    <t>REFORMA DO PRÉDIO PRINCIPAL DE ENSINO (SANITÁRIOS DA ALA ANTIGA / BRINQUEDOTECA / SALA DOS PROFESSORES / COORDENAÇÃO / COPA / BANHEIROS INTERNOS / APOIO / O.S.)</t>
  </si>
  <si>
    <t>CINTA: 43,93M X 0,12M X 0,07M</t>
  </si>
  <si>
    <t>2.1</t>
  </si>
  <si>
    <t>CONSTRUÇÃO DO PRÉDIO ADMINISTRATIVO (RECEPÇÃO / DIREÇÃO / SECRETARIA), SANITÁRIOS NOVOS (NO PÁTIO) E COBERTURA DA QUADRA</t>
  </si>
  <si>
    <t>(24,50M DE COMPRIMENTO DAS TERÇAS X 10 UNIDADES) + (13,00M DE COMPRIMENTO DAS TESOURAS X 6,00 UNIDADES</t>
  </si>
  <si>
    <t>(24,50M DE COMPRIMENTO X 2,00M DE ALTURA X 2 LATERAIS) + (13,00M DE COMPRIMENTO X 2,00M DE ALTURA X 2 CABECEIRAS)</t>
  </si>
  <si>
    <t>01 UNIDADE (AO LADO DA QUADRA)</t>
  </si>
  <si>
    <t>13.030.0255-A</t>
  </si>
  <si>
    <t>REVESTIMENTO DE PAREDES COM CERAMICA, COM MEDIDAS EM TORNO DE 10X10CM, TELADA, PLACA 30X30CM, ASSENTE COM ARGAMASSA COLANTE, REJUNTAMENTO COM ARGAMASSA INDUSTRIALIZADA,EXCLUSIVE CHAPISCO E EMBOCO</t>
  </si>
  <si>
    <t>EMBOCO COM ARGAMASSA DE CIMENTO E AREIA,NO TRACO 1:3 COM 2CMDE ESPESSURA,INCLUSIVE CHAPISCO DE CIMENTO E AREIA,NO TRACO0,04375</t>
  </si>
  <si>
    <t>CINTA INFERIOR: 43,93M X 0,12M X 0,30M + SAPATAS: 0,80M X 0,80M X 0,40M X 6 UNIDADES + COLUNAS: 0,12M X 0,30M X 3,00M X 6 UNIDADES + CINTA SUPERIOR: 43,93M X 0,12M X 0,30M</t>
  </si>
  <si>
    <t>CINTA: 41,93M X 0,50M X 0,30M + SAPATAS: 1,30M X 1,30M X 0,50M X 6 UNIDADES</t>
  </si>
  <si>
    <t>5,42M X 10,45 (SANITÁRIOS)</t>
  </si>
  <si>
    <t>1.26</t>
  </si>
  <si>
    <t>1.27</t>
  </si>
  <si>
    <t>16.013.0002-A</t>
  </si>
  <si>
    <t>RETIRADA E RECOLOCACAO DE TELHAS COLONIAIS, INCLUSIVE CUMEEIRA, EXCLUSIVE O FORNECIMENTO DO MATERIAL NOVO, MEDIDAS PELA AREA REAL DE COBERTURA</t>
  </si>
  <si>
    <t>16.013.0015-A</t>
  </si>
  <si>
    <t>RETIRADA E RECOLOCACAO DE MADEIRAMENTO TELHAS FRANCESAS OU COLONIAIS,ONDULADAS,EXCLUSIVE FORNECIMENTO DO MATERIAL.MEDIDAS PELA AREA REAL DA COBERTURA</t>
  </si>
  <si>
    <t>SANITÁRIOS (PRÉDIO PRINCIPAL DE ENSINO): 11,05M X 6,60M</t>
  </si>
  <si>
    <t>3,90M X 5,15M X 0,40M (ACRÉSCIMO SANITÁRIOS)</t>
  </si>
  <si>
    <t>VOLUME DA AREIA(8,03 M3) X PESO ESPECÍFIOCO(1,4) X EMPOLAMENTO(1,0) X DISTÂNCIA(55 KM): (ACRÉSCIMO SANITÁRIOS)</t>
  </si>
  <si>
    <t>PORTAS DOS SANITÁRIOS PRINCIPAIS (1,20M X 0,10M X 0,10M X 2 UNIDADES) + BRINQUEDOTECA (1,10M X 0,10M X 0,10M X 2 UNIDADES) + JANELAS DOS SANITÁRIOS PRINCIPAIS (1,30M X 0,10M X 0,10M X 2 UNIDADES) + (2,50M X 0,10M X 0,10M X 2 UNIDADES) + JANELA DO SANITÁRIO DOS PROFESSORES (1,30M X 0,10M X 0,10M) + JANELA DO LAVABO EXTERNO (1,30M X 0,10M X 0,10M)</t>
  </si>
  <si>
    <t>SANITÁRIOS PRINCIPAIS: (11,25M DE COMPRIMENTO X 1,90M DE ALTURA X 2 UNIDADES) + SANITÁRIO DOS PROFESORES: (2,00M X 1,90M)</t>
  </si>
  <si>
    <t>SANITÁRIOS PRINCIPAIS: (07 UNID. NO MASCULINO + 07 UNID. DO FEMININO) + SANITÁRIO DOS PROFESORES: (01 UNIDADE)</t>
  </si>
  <si>
    <t>SANITÁRIOS PRINCIPAIS PAREDES (55,63M DE COMPRIMENTO X 1,10M DE ALTURA) + SANITÁRIOS PRINCIPAIS TETOS (27,74M2 + 27,89M2)+ SANITÁRIO DOS PROFESORES PAREDES: (2,00M X 1,10M X 2 LADOS) + BRINQUEDOTECA: (4,05M X 3,00M X 2 LADOS) + CORREDORES (4,25M X 3,00M)</t>
  </si>
  <si>
    <t>13.301.0085-A</t>
  </si>
  <si>
    <t>PISO CIMENTADO,COM 1,5CM DE ESPESSURA,COM ARGAMASSA DE CIMENTO E AREIA,NO TRACO 1:3,ALISADO A COLHER,COM JUNTAS BATIDASFORMANDO QUADROS,SOBRE BASE EXISTENTE</t>
  </si>
  <si>
    <t>ANTIGO PRÉDIO DA DIREÇÃO / SECRETARIA / RECEPÇÃO: (38,70M X 0,80M) + PRÉDIO PRINCIPAL, SALAS DE AULA: (115,10M X 0,80M)</t>
  </si>
  <si>
    <t>AUDITÓRIO: 88,20M2 + SALA 04: 43,04M2 + SALA 05: 44,23M2 + SALA 06: 43,66M2 + SALA 07: 43,66M2 + SALA 08: 47,57M2 + SALA 09: 35,96M2 + SALA 10: 35,96M2 + SALA 11: 35,31M2 + SALA 12: 35,97M2 + SALA 13: 34,61M2 + SALA 14: 35,64M2 + DEPÓSITO: 25,41M2 + SALA DE XEROX: 16,30MM2 + INFORMÁTICA: 27,60M2 + BANHEIRO MASC.: 25,60M2 + BANHEIRO FEM.: 25,60M2 + BRINQUEDOTECA: 24,97M2 + SALA DOS PROFESSORES: 18,73M2 + SALA DE O.S.: 11,16M2 + COORDENAÇÃO: 10,83M2 + SALA DE APOIO: 11,10M2 + COPA: 11,10M2 + BANHEIRO DOS PROFESSORES: 7,91M2 + BANHEIRO DE SERVIÇO: 3,48M2 + COZINHA: 35,31M2 + DEPÓSITO: 7,38M2 + DESP.01: 15,29M2 + DESP. 02: 9,90M2 + HIGIENIZAÇÃO: 14,80M2 + REFEITÓRIO: 112,29M2 + ESCOVÓDROMO: 13,95M2 + CORREDORES: 335,67M2</t>
  </si>
  <si>
    <t>SOMATÓRIO DOS ITENS 4.07 E 4.08</t>
  </si>
  <si>
    <t>REVESTIMENTOS E PAVIMENTAÇÕES</t>
  </si>
  <si>
    <t>DIRETORIA: 25,44M2 + BANHEIRO DA DIRETORIA: 2,50M2 + SECRETARIA / ESPERA / ATENDIMENTO: 48,58M2 + BANHEIRO DA ESPERA: 2,50M2 + BANHEIRO SECRETARIA: 2,50M2 + DEPÓSITO: 5,67M2 + SANITÁRIO FEMININO PÁTIO: 16,10M2 + SANITÁRIO MASCULINO PÁTIO: 16,10M2</t>
  </si>
  <si>
    <t>LASTRO PARA O CONTRAPISO: ITEM 4.06 X 0,05CM</t>
  </si>
  <si>
    <t>PRÉDIO ADMINISTRATIVO: (3,00M) + (1,00M X 3 UNIDADES) + (3,00M) + (2,00M) + (3,10M) + SANITÁRIOS DO PÁTIO: (3,00M X 2 UNIDADES)</t>
  </si>
  <si>
    <t>PASTILHAS AZUIS: FAIXA DE ACABAMENTO NOS SANITÁRIOS NOVOS DO PÁTIO: MASC. (21,06M X 0,10M) + FEM. (21,06M X 0,10M)</t>
  </si>
  <si>
    <r>
      <t xml:space="preserve">REVESTIMENTO DE PAREDES COM CERAMICA, COM MEDIDAS EM TORNO DE 10X10CM, TELADA, PLACA 30X30CM, ASSENTE COM ARGAMASSA COLANTE, REJUNTAMENTO COM ARGAMASSA INDUSTRIALIZADA,EXCLUSIVE CHAPISCO E EMBOCO </t>
    </r>
    <r>
      <rPr>
        <sz val="10"/>
        <rFont val="Arial Narrow"/>
        <family val="2"/>
      </rPr>
      <t>(AZUL)</t>
    </r>
  </si>
  <si>
    <r>
      <t xml:space="preserve">REVESTIMENTO DE PAREDES COM CERAMICA, COM MEDIDAS EM TORNO DE 10X10CM, TELADA, PLACA 30X30CM, ASSENTE COM ARGAMASSA COLANTE, REJUNTAMENTO COM ARGAMASSA INDUSTRIALIZADA,EXCLUSIVE CHAPISCO E EMBOCO </t>
    </r>
    <r>
      <rPr>
        <sz val="10"/>
        <rFont val="Arial Narrow"/>
        <family val="2"/>
      </rPr>
      <t>(VERMELHA)</t>
    </r>
  </si>
  <si>
    <r>
      <t xml:space="preserve">REVESTIMENTO DE PAREDES COM CERAMICA, COM MEDIDAS EM TORNO DE 10X10CM, TELADA, PLACA 30X30CM, ASSENTE COM ARGAMASSA COLANTE, REJUNTAMENTO COM ARGAMASSA INDUSTRIALIZADA,EXCLUSIVE CHAPISCO E EMBOCO </t>
    </r>
    <r>
      <rPr>
        <sz val="10"/>
        <rFont val="Arial Narrow"/>
        <family val="2"/>
      </rPr>
      <t>(AMARELA)</t>
    </r>
  </si>
  <si>
    <t xml:space="preserve">PASTILHAS AMARELAS: PÓRTICO MURO ((3,00M X 4,20M) - (2,30M X 3,00M) X 2 LADOS)) + (4,20M X 0,75M) + (3,00M X 0,30M X 2 LADOS)) </t>
  </si>
  <si>
    <t xml:space="preserve">PASTILHAS VERMELHAS: COLUNAS MURO (0,50M X 2,00M X 82 UNIDADES) + (0,30M X 2,00M X 82 UNIDADES) + CINTA SUPERIOR MURO (166,12M X 0,90M) </t>
  </si>
  <si>
    <t xml:space="preserve">PASTILHAS AZUIS: BARRAMENTO MURO (182,66M X 0,90M X 2 LADOS) + PASTILHAS AZUIS: FAIXAS DE ACABAMENTO ESCOVÓDROMO (15,30M X 0,10M) + FAIXAS DE ACABAMENTO HIGIENIZAÇÃO (16,84M X 0,10M) + FAIXAS DE ACABAMENTO BANH. FEM. (27,89M X 0,10M) + FAIXAS DE ACABAMENTO BANH. MASC. (27,89M X 0,10M) + FAIXAS DE ACABAMENTO BANH. SERVIÇO (7,34M X 0,10M) + FAIXAS DE ACABAMENTO BANH. PROFESSORES (13,18M X 0,10M) </t>
  </si>
  <si>
    <t>PISO DA QUADRA (22,50M DE COMPRIMENTO X 11,00M DE LARGURA)</t>
  </si>
  <si>
    <t>17.040.0021-A</t>
  </si>
  <si>
    <t>MARCACAO DE QUADRA DE ESPORTE OU VAGA DE GARAGEM COM TINTA ACRILICA PROPRIA PARA PINTURA DE PISOS,COM UTILIZACAO DE SELADOR E SOLVENTE PROPRIO E FITA CREPE COMO LIMITADOR DE LINHAS,MEDIDA PELA AREA REAL DE PINTURA</t>
  </si>
  <si>
    <t>FUTSAL: ((78m (11+11+11+22,50+22,50) linhas de fundo, laterais e meio campo) x 0,10m de espessura da linha)) + ((11,62m (circunferência do meio campo) x 0,10m de espessura da linha)) + ((15,55m (área) x 0,10m de espessura da linha x 02 lados)); HANDEBOL: ((22,76m (área) x 0,10m de espessura da linha x 02 lados)); VÔLEI: ((72M (9+9+9+9+18+18) linhas do campo) x 0,10m de espessura da linha))</t>
  </si>
  <si>
    <t>3.1</t>
  </si>
  <si>
    <t>2.2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</si>
  <si>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</si>
  <si>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</si>
  <si>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</si>
  <si>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</si>
  <si>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</si>
  <si>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</si>
  <si>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</si>
  <si>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</si>
  <si>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</si>
  <si>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</si>
  <si>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</si>
  <si>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</si>
  <si>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</si>
  <si>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</si>
  <si>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</si>
  <si>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</si>
  <si>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</si>
  <si>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</si>
  <si>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</si>
  <si>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</si>
  <si>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</si>
  <si>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</si>
  <si>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</si>
  <si>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</si>
  <si>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</si>
  <si>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</si>
  <si>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</si>
  <si>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2.3.15</t>
  </si>
  <si>
    <t>2.4</t>
  </si>
  <si>
    <t>2.4.1</t>
  </si>
  <si>
    <t>2.5</t>
  </si>
  <si>
    <t>2.6</t>
  </si>
  <si>
    <t>2.7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</si>
  <si>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</si>
  <si>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</si>
  <si>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</si>
  <si>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</si>
  <si>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</si>
  <si>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</si>
  <si>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</si>
  <si>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</si>
  <si>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</si>
  <si>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</si>
  <si>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</si>
  <si>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</si>
  <si>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</si>
  <si>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</si>
  <si>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</si>
  <si>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</si>
  <si>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</si>
  <si>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</si>
  <si>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</si>
  <si>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</si>
  <si>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</si>
  <si>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</si>
  <si>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</si>
  <si>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</si>
  <si>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</si>
  <si>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</si>
  <si>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</si>
  <si>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</si>
  <si>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</si>
  <si>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3.4</t>
  </si>
  <si>
    <t>3.4.1</t>
  </si>
  <si>
    <t>3.4.2</t>
  </si>
  <si>
    <t>3.4.3</t>
  </si>
  <si>
    <t>3.4.4</t>
  </si>
  <si>
    <t>3.4.5</t>
  </si>
  <si>
    <t>3.4.6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</si>
  <si>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</si>
  <si>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</si>
  <si>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</si>
  <si>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</si>
  <si>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</si>
  <si>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</si>
  <si>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</si>
  <si>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</si>
  <si>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3.5.10</t>
  </si>
  <si>
    <t>30% DO VOLUME DA ESCAVAÇÃO (ITEM 3.1.1)</t>
  </si>
  <si>
    <t>SOMATÓRIO DOS ITENS 2.3.6 E 2.3.7</t>
  </si>
  <si>
    <t>30% DO VOLUME DA ESCAVAÇÃO (ITEM 2.1.1)</t>
  </si>
  <si>
    <t>SOMATÓRIO DOS ITENS 2.3.13 + 2.3.14 + 2.3.15</t>
  </si>
  <si>
    <t>IDEM ITEM 3.3.14</t>
  </si>
  <si>
    <t>REVESTIMENTO DE PAREDES COM CERAMICA,MEDINDO EM TORNO DE 32X57CM,ASSENTE CONFORME ITEM 13.025.0058</t>
  </si>
  <si>
    <t xml:space="preserve">BANHEIRO SECRETARIA (6,40M X 3,00M) + BANHEIRO DIRETORIA (6,40M X 3,00M) + BANHEIRO ESPERA (6,40M X 3,00M) + SANIT. MASC. PÁTIO (16,20M X 1,80M) + SANIT. FEM. PÁTIO (16,20M X 1,80M) + DIRETORIA (24,58M X 1,20M) + SECRETARIA / ATENDIMENTO (42,16M X 1,20M) </t>
  </si>
  <si>
    <t>EM FRENTE AOS SANITÁRIOS DO PÁTIO (2,80M X 4,80M)</t>
  </si>
  <si>
    <t>2.3.16</t>
  </si>
  <si>
    <t>13.398.0030-A</t>
  </si>
  <si>
    <t>RODAPE DE IPE OU MADEIRA EQUIVALENTE DE 10X2CM ACABAMENTO BOLEADO,FIXADO COMO EM 13.398.0020</t>
  </si>
  <si>
    <t>RODAMEIO DIRETORIA (23,00M) + RODAMEIO SECRETARIA/ATENDIMENTO (36,50M)</t>
  </si>
  <si>
    <t>(SALA 04: 25,86M  + SALA 05: 26,66M + SALA 06: 26,50M + SALA 07: 26,50M + SALA 08: 27,60M + SALA 09: 24,10M + SALA 10: 24,10M + SALA 11: 23,90M + SALA 12: 24,10M + SALA 13: 23,80M + SALA 14: 24,00M + SALA DE XEROX: 16,64M + INFORMÁTICA: 21,02M + BRINQUEDOTECA: 20,12M + SALA DOS PROFESSORES: 17,23M + SALA DE O.S.: 13,09M + COORDENAÇÃO: 12,88M + SALA DE APOIO: 13,40M + COPA: 13,40M + REFEITÓRIO: 46,80M) X 1,20M</t>
  </si>
  <si>
    <t xml:space="preserve">RODAMEIO (SALA 04: 25,10M  + SALA 05: 25,90M + SALA 06: 25,70M + SALA 07: 25,70M + SALA 08: 26,80M + SALA 09: 23,30M + SALA 10: 23,30M + SALA 11: 23,10M + SALA 12: 23,30M + SALA 13: 23,00M + SALA 14: 23,20M + SALA DE XEROX: 15,85M + INFORMÁTICA: 20,25M + BRINQUEDOTECA: 19,35M + SALA DOS PROFESSORES: 16,50M + SALA DE O.S.: 12,30M + COORDENAÇÃO: 12,10M + SALA DE APOIO: 12,60M + COPA: 12,60M + REFEITÓRIO: 42,00M) </t>
  </si>
  <si>
    <t>(210,00M2), RETIRADO DO CAD, REFERENTE AO PRÉDIO ADMINISTRATIVO / SANITÁRIOS DO PÁTIO E COBERTURA QUE LIGA O PÓRTICO DE ENTRADA AOS PRÉDIOS, CONFORME PROJETO</t>
  </si>
  <si>
    <t>(DIRETORIA: 25,44M2 + BANHEIRO DA DIRETORIA: 2,50M2 + SECRETARIA / ESPERA / ATENDIMENTO: 48,58M2 + BANHEIRO DA ESPERA: 2,50M2 + BANHEIRO SECRETARIA: 2,50M2 + DEPÓSITO: 5,67M2 + SANITÁRIO FEMININO PÁTIO: 16,10M2 + SANITÁRIO MASCULINO PÁTIO: 16,10M2) X 0,40M DE ALTURA</t>
  </si>
  <si>
    <t>IDEM, ITEM ANTERIOR</t>
  </si>
  <si>
    <t>VOLUME DA AREIA(47,76 M3) X PESO ESPECÍFIOCO(1,4) X EMPOLAMENTO(1,0) X DISTÂNCIA(55 KM)</t>
  </si>
  <si>
    <t>PORTAS DO PRÉDIO ADMINISTRATIVO: (3,30M X 0,10M X 0,10M) + (1,10M X 0,10M X 0,10M X 6 UNIDADES) + PORTAS DOS SANITÁRIOS DO PÁTIO: (1,20M X 0,10M X 0,10M X 2 UNIDADES) + JANELAS DO PRÉDIO ADMINISTRATIVO: (3,30M X 0,10M X 0,10M X 2 UNIDADES) + (1,30M X 0,10M X 0,10M X 6 UNIDADES) + (3,30M X 0,10M X 0,10M X 2 UNIDADES) + (2,30M X 0,10M X 0,10M X 2 UNIDADES) + (3,40M X 0,10M X 0,10M) + JANELAS DOS SANITÁRIOS DO PÁTIO: (3,30M X 0,10M X 0,10M X 4 UNIDADES)</t>
  </si>
  <si>
    <t>VERGAS E CONTRAVERGA DE CONCRETO ARMADO PARA ALVENARIA, COM APROVEITAMENTO DA MADEIRA POR 10 VEZES</t>
  </si>
  <si>
    <t xml:space="preserve">SANITÁRIOS DO PÁTIO: (5,40M DE COMPRIMENTO X 1,90M DE ALTURA X 2 UNIDADES) </t>
  </si>
  <si>
    <t xml:space="preserve">SANITÁRIOS DO PÁTIO: (05 UNID. NO MASCULINO + 05 UNID. DO FEMININO) </t>
  </si>
  <si>
    <t>DIRETORIA: 24,58M X 1,80M + SECRETARIA / ESPERA / ATENDIMENTO: 42,16M X 1,80M + DEPÓSITO: 9,78M X 3,00M + TETO DIRETORIA: 24,57M2 + TETO BANHEIRO DIRETORIA: 2,50M2 + TETO SECRETARIA / ESPERA: 48,58M2 + TETO BANHEIRO ESPERA: 2,50M2 + TETO BANHEIRO SECRETARIA: 2,50M2 + TETO DEPÓSITO: 5,67M2 + TETO SANITÁRIO MASC. DO PÁTIO: 16,20M2 + TETO SANITÁRIO FEM. DO PÁTIO: 16,20M2</t>
  </si>
  <si>
    <t>PRÉDIO ADMINISTRATIVO: ((0,80M X 6 UNIDADES) + (1,70M)) + SANITÁRIOS DO PÁTIO: 0,90M X 2 UNIDADES</t>
  </si>
  <si>
    <t xml:space="preserve">PRÉDIO PRINCIPAL, SALAS DE AULA: (115,10M X 0,80M) </t>
  </si>
  <si>
    <t>ACESSO PRINCIPAL: PEDESTRES / PRÉDIO ADMINISTRATIVO / SANITÉRIOS NOVOS DO PÁTIO E ÁREA NO ENTORNO DA GRAMA SINTÉTICA: 137,44M2</t>
  </si>
  <si>
    <t>AUDITÓRIO: 0,80M + SALA 04: 0,80M + SALA 05: 0,80M + SALA 06: 0,80M + SALA 07: 0,80M + SALA 08: 0,80M + SALA 09: 0,80M + SALA 10: 0,80M + SALA 11: 0,80M + SALA 12: 0,80M + SALA 13: 0,80M + SALA 14: 0,80M + DEPÓSITO: 0,80M + SALA DE XEROX: 0,80M + INFORMÁTICA: 0,80M + BANHEIRO MASC.: 0,90M + BANHEIRO FEM.: 0,90M + BRINQUEDOTECA: 0,80M + SALA DOS PROFESSORES: 0,80M + SALA DE O.S.: 0,80M + COORDENAÇÃO: 0,80M + SALA DE APOIO: 0,80M + COPA: 0,80M + BANHEIRO DOS PROFESSORES: 0,80M + BANHEIRO DE SERVIÇO: 0,80M + COZINHA: (0,80M X 2 UNID.) + DEPÓSITO: 0,80M + DESP.01: 0,80M + DESP. 02: 0,80M + HIGIENIZAÇÃO: (0,80M + 3,50M) + REFEITÓRIO: (1,60M X 2UNID.)+(1,20M) + ESCOVÓDROMO: 1,35M + CORREDORES: 67,00M</t>
  </si>
  <si>
    <t>COPA: 1,90M + BANHEIRO DE SERVIÇO: 0,80M + BANHEIRO DOS PROFESSORES: 1,10M + BRINQUEDOTECA: 3,00M + BANHEIRO FEMININO: (2,20M + 1,00M) + BANHEIRO MASCULINO: (2,20M + 1,00M)</t>
  </si>
  <si>
    <t>13.330.0101-A</t>
  </si>
  <si>
    <t>RODAPE COM LADRILHO CERAMICO,COM 7,5 A 10CM DE ALTURA,ASSENTES CONFORME ITEM 13.025.0058</t>
  </si>
  <si>
    <t>AUDITÓRIO: 38,40M + SALA 04: 25,10M + SALA 05: 25,80M + SALA 06: 25,70M + SALA 07: 25,70M + SALA 08: 26,80M + SALA 09: 23,30M + SALA 10: 23,30M + SALA 11: 23,10M + SALA 12: 23,30M + SALA 13: 23,00M + SALA 14: 23,20M + DEPÓSITO: 20,10M + SALA DE XEROX: 15,85M + INFORMÁTICA: 20,20M + BRINQUEDOTECA: 19,35M + SALA DOS PROFESSORES: 16,45M + SALA DE O.S.: 12,30M + COORDENAÇÃO: 12,10M + SALA DE APOIO: 12,60M + COPA: 12,60M + COZINHA: 24,50M + DEPÓSITO: 10,10M + DESP.01: 15,25M + DESP. 02: 12,20M + HIGIENIZAÇÃO: 11,40M + REFEITÓRIO: 41,05M + ESCOVÓDROMO: 13,95M2 + CORREDORES: 148,60M</t>
  </si>
  <si>
    <t>SECRETARIA / ESPERA: 36,45M + DIRETORIA: 23,00M + DEPÓSITO: 9,00M</t>
  </si>
  <si>
    <t>14.003.0145-A</t>
  </si>
  <si>
    <t>JANELA DE ALUMINIO ANODIZADO AO NATURAL FOSCO, TIPO MAXIM-AR, EM PERFIS SERIE 28, COM 50 CM DE ALTURA, EM 4 MODULOS, CONFORMEPROJETO N║6008/EMOP. FORNECIMENTO E COLOCACAO</t>
  </si>
  <si>
    <t>2,00M X 0,60M X 03 UNIDADES (1 COPA + 1 BANH. MASC. + 1 BANH. FEM.) + 1,00M X 0,60M X 04 UNIDADES (1 BANH. SERVIÇO + 1 BANH. PROFESSORES + 1 BANH. MASC. + 1 BANH. FEM.)</t>
  </si>
  <si>
    <t>2.4.2</t>
  </si>
  <si>
    <t>14.003.0020-A</t>
  </si>
  <si>
    <t>JANELA DE ALUMINIO ANODIZADO AO NATURAL DE CORRER, DUAS FOLHAS FIXAS E DUAS DE CORRER E BANDEIRA DE 0,50M DE ALTURA COM 2 PAINEIS FIXOS E 2 BASCULANTES, EM PERFIS SERIE 28. FORNECIMENTO E COLOCACAO</t>
  </si>
  <si>
    <t>3,00M X 1,10M (BRINQUEDOTECA)</t>
  </si>
  <si>
    <t>2.4.3</t>
  </si>
  <si>
    <t>3.5.8</t>
  </si>
  <si>
    <t>3.5.9</t>
  </si>
  <si>
    <t>1,00M X 0,60M X 03 UNIDADES (1 BANH. SECRETARIA + 1 BANH. DIRETORIA + 1 BANH. ESPERA) + 3,00M X 0,60M X 02 UNIDADES (1 BANH. MASC. DO PÁTIO + 1 BANH. FEM. DO PÁTIO)</t>
  </si>
  <si>
    <t xml:space="preserve">3,00M X 1,10M (SECRETARIA) + 3,00M X 1,10M (DIRETORIA) + 2,00M X 1,10M (CORREDOR DO BANHEIRO / ESPERA) </t>
  </si>
  <si>
    <t>VIDRO PLANO TRANSPARENTE,COMUM,DE 4MM DE ESPESSURA.FORNECIMENTO E COLOCACAO</t>
  </si>
  <si>
    <t>SOMATÓRIO DOS ITENS 2.4.2 + 2.4.3</t>
  </si>
  <si>
    <t>2.4.4</t>
  </si>
  <si>
    <t>SOMATÓRIO DOS ITENS 3.4.2 + 3.4.3</t>
  </si>
  <si>
    <t>14.004.0121-A</t>
  </si>
  <si>
    <t>VIDRO TEMPERADO,INCOLOR,COM 6MM DE ESPESSURA,ENCAIXILHADO EMMADEIRA,ALUMINIO OU FERRO.FORNECIMENTO E COLOCACAO</t>
  </si>
  <si>
    <t>ABERTURA FACHADA: 3,10M X 2,55M + ACESSO PRINCIPAL DO PRÉDIO ADMINISTRATIVO: ((3,00M X 2,55M) - (1,70M X 2,10M)</t>
  </si>
  <si>
    <t>14.004.0120-A</t>
  </si>
  <si>
    <t>VIDRO TEMPERADO INCOLOR, 10MM DE ESPESSURA, PARA PORTAS OU PAINEIS FIXOS, EXCLUSIVE FERRAGENS. FORNECIMENTO E COLOCACAO</t>
  </si>
  <si>
    <t>14.007.0185-A</t>
  </si>
  <si>
    <t>FERRAGENS P/PORTAS(CONJUNTO COMPLETO) DE 2 FOLHAS C/BANDEIRAE 2 PAINES FIXOS LATERAIS DE VIDRO TEMPERADO DE 10MM,CONST.DE FORNECIMENTO SEM COLOCACAO(ESTA INCLUIDA NO FORNECIMENTOE COLOCACAO DO VIDRO), EXCLUSIVE MOLA HIDRAULICA DE PISO(VIDE ITEM 14.007.0190)</t>
  </si>
  <si>
    <t>3.4.7</t>
  </si>
  <si>
    <t>3.4.8</t>
  </si>
  <si>
    <t>14.007.0190-A</t>
  </si>
  <si>
    <t>MOLA HIDRAULICA DE PISO PARA PORTAS DE VIDRO TEMPERADO DE 10MM.FORNECIMENTO</t>
  </si>
  <si>
    <t>ACESSO PRINCIPAL DO PRÉDIO ADMINISTRATIVO: 01 UNIDADE</t>
  </si>
  <si>
    <t>ACESSO PRINCIPAL DO PRÉDIO ADMINISTRATIVO: 01 UNIDADE POR FOLHA X 02 FOLHAS</t>
  </si>
  <si>
    <t>3.4.9</t>
  </si>
  <si>
    <t>3.4.10</t>
  </si>
  <si>
    <t>3.4.11</t>
  </si>
  <si>
    <t>3.4.12</t>
  </si>
  <si>
    <t>14.006.0233-A</t>
  </si>
  <si>
    <t>PORTA DE MADEIRA DE LEI, COMPENSADO DE 80X210X3,5CM, COM VISOR EM POLICARBONATO TRANSLUCIDO DE 4MM, MEDINDO 1,10X0,20M, MOLA"FECHA PORTA", PUXADORES VERTICAIS METALICO 40CM, ADUELA 13X3CM E ALIZARES 5X2CM, FAIXAS PROTETORAS EM MATERIAL VINILICO COM 50CM DE ALTURA NA PARTE INFERIOR, CONFORME DESENHO CDRFS/N║, EXCLUSIVE PINTURA E FERRAGENS. FORNECIMENTO E COLOCACAO</t>
  </si>
  <si>
    <t xml:space="preserve">06 UNIDADES (1 DIRETORIA + 1 SECRETARIA + 1 BANH. SECRETARIA + 1 BANH. DIRETORIA + 1 BANHEIRO ESPERA + 1 DEPÓSITO) </t>
  </si>
  <si>
    <t>14.006.0008-A</t>
  </si>
  <si>
    <t>PORTA DE MADEIRA DE LEI EM COMPENSADO DE 90X210X3,5CM FOLHEADA NAS 2 FACES,ADUELA DE 13X3CM E ALIZARES DE 5X2CM,EXCLUSIVE FERRAGENS.FORNECIMENTO E COLOCACAO</t>
  </si>
  <si>
    <t xml:space="preserve">02 UNIDADES (1 BANHEIRO FEM. DO PÁTIO + 1 BANHEIRO MASC. DO PÁTIO) </t>
  </si>
  <si>
    <t>14.007.0040-A</t>
  </si>
  <si>
    <t>3.4.13</t>
  </si>
  <si>
    <t>3.4.14</t>
  </si>
  <si>
    <t>14.007.0250-A</t>
  </si>
  <si>
    <t>FERRAGENS P/PORTAS DE MADEIRA, 1 FOLHA DE ABRIR, INTERNAS, SOCIAIS OU DE SERVICO, CONSTANDO DE FORNEC.S/COLOC., DE:-FECHADURATIPO GORGE, TRINCO REVERSIVEL, EM LATAO, ACABAMENTO CROMADO, -ENTRADA E ROSETA CIRCULARES, LATAO LAMINADO, ACABAMENTO CROMADO, -MACANETA TIPO ALAVANCA, EM LATAO, ACABAMENTO CROMADO, -3 DOBRADICAS FERRO GALVANIZADO 3"X2.1/2", COM PINO E BOLAS DE FERRO</t>
  </si>
  <si>
    <t>FERRAGENS PARA PORTAS DE MADEIRA DE ENTRADA PRINCIPAL, CONSTANDO DE FORNECIMENTO DAS PECAS: -FECHADURA DE CILINDRO EM FERRRO, ACABAMENTO CROMADO, -ESPELHO RETANGULAR EM LATAO, ACABAMENTO CROMADO, -MACANETA TIPO ALAVANCA DE ZAMAK POLIDO, ACABAMENTO CROMADO, EXCLUSIVE DOBRADICAS</t>
  </si>
  <si>
    <t>PORTA DE MADEIRA DE LEI EM COMPENSADO DE 60X150X3,5CM,FOLHEADA NAS 2 FACES E MARCO DE 7X3CM,EXCLUSIVE FERRAGENS.FORNECIMENTO E COLOCACAO</t>
  </si>
  <si>
    <t xml:space="preserve">06 UNIDADES (3 BANHEIRO FEM. DO PÁTIO + 3 BANHEIRO MASC. DO PÁTIO) </t>
  </si>
  <si>
    <t>14.006.0090-A</t>
  </si>
  <si>
    <t>PORTA DE MADEIRA DE LEI EM COMPENSADO, DE 90X180X3,5CM,FOLHEADA NAS 2 FACES E MARCO DE 7X3CM,EXCLUSIVE FERRAGENS.FORNECIMENTO E COLOCACAO</t>
  </si>
  <si>
    <t xml:space="preserve">04 UNIDADES (2 BANHEIRO FEM. DO PÁTIO + 2 BANHEIRO MASC. DO PÁTIO) </t>
  </si>
  <si>
    <t>FERRAGENS PARA PORTAS DE MADEIRA,1 FOLHA,DE ABRIR,PARA SANITARIOS OU CHUVEIROS COLETIVOS,CONSTANDO DE FORNEC.S/COLOC.,DE:-FECHO DE SOBREPOR,TIPO "LIVRE-OCUPADO",RETANGULAR,EM ZAMAKOU LATAO, ACABAMENTO CROMADO,-3 DOBRADICAS DE FERRO GALVANIZADO DE 3"X3",COM PINO E BOLAS DE LATAO</t>
  </si>
  <si>
    <t xml:space="preserve">10 UNIDADES (5 BANHEIRO FEM. DO PÁTIO + 5 BANHEIRO MASC. DO PÁTIO) </t>
  </si>
  <si>
    <t>3.4.15</t>
  </si>
  <si>
    <t>18.016.0125-A</t>
  </si>
  <si>
    <t>3.4.16</t>
  </si>
  <si>
    <t xml:space="preserve">04 UNIDADES NAS PORTAS DE 90CM (2 BANHEIRO FEM. DO PÁTIO + 2 BANHEIRO MASC. DO PÁTIO) </t>
  </si>
  <si>
    <t>BARRA DE APOIO (PUXADOR HORIZONTAL/VERTICAL) EM ACO INOXIDAVELAISI 304,TUBO DE 1 1/4",INCLUSIVE FIXACAO COM PARAFUSOS INOXIDAVEIS E BUCHAS PLASTICAS,COM 40CM,PARA PORTAS DE SANITARIOS,VESTIARIOS E QUARTOS ACESSIVEIS EM LOCAIS DE HOSPEDAGEM EDE SAUDE.FORNECIMENTO E INSTALACAO</t>
  </si>
  <si>
    <t>18.016.0107-A</t>
  </si>
  <si>
    <t>BARRA DE APOIO EM ACO INOXIDAVEL AISI 304,TUBO DE 1 1/4",INCLUSIVE FIXACAO COM PARAFUSOS INOXIDAVEIS E BUCHAS PLASTICAS,COM 60CM,PARA PESSOAS COM NECESSIDADES ESPECIFICAS.FORNECIMENTO E COLOCACAO</t>
  </si>
  <si>
    <t>3.4.17</t>
  </si>
  <si>
    <t>3.4.18</t>
  </si>
  <si>
    <t>3.4.19</t>
  </si>
  <si>
    <t>3.4.20</t>
  </si>
  <si>
    <t>3.4.21</t>
  </si>
  <si>
    <t>BARRAS VERTICAIS DO LAVATÓRIO DE CANTO NO BOX PNE, 04 UNIDADES (2 NO BANH. MASC. E 2 NO BANHEIRO FEMININO)</t>
  </si>
  <si>
    <t>BARRAS HORIZONTAIS DO VASO SANITÁRIO NO BOX PNE, 04 UNIDADES (2 NO BANH. MASC. E 2 NO BANHEIRO FEMININO)</t>
  </si>
  <si>
    <t>BARRAS VERTICAIS DO CHUVEIRO NO BOX PNE, 02 UNIDADES (1 NO BANH. MASC. E 1 NO BANHEIRO FEMININO)</t>
  </si>
  <si>
    <t>BARRAS VERTICAIS DO VASO SANITÁRIO NO BOX PNE, 02 UNIDADES (1 NO BANH. MASC. E 1 NO BANHEIRO FEMININO) + BARRAS VERTICAIS DO CHUVEIRO NO BOX PNE, 02 UNIDADES (1 NO BANH. MASC. E 1 NO BANHEIRO FEMININO) + BARRAS HORIZONTAIS DO CHUVEIRO NO BOX PNE, 02 UNIDADES (1 NO BANH. MASC. E 1 NO BANHEIRO FEMININO)</t>
  </si>
  <si>
    <t>CHUVEIRO NO BOX PNE, 02 UNIDADES (1 NO BANH. MASC. E 1 NO BANHEIRO FEMININO)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</si>
  <si>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</si>
  <si>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</si>
  <si>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</si>
  <si>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</si>
  <si>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</si>
  <si>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</si>
  <si>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</si>
  <si>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</si>
  <si>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2.4.17</t>
  </si>
  <si>
    <t xml:space="preserve">02 UNIDADES (1 BANHEIRO FEM.  + 1 BANHEIRO MASC.) </t>
  </si>
  <si>
    <t xml:space="preserve">0,40M DE ALTURA X 0,90M DE ALTURA X 06 UNIDADES (3 BANHEIRO FEM. DO PÁTIO + 3 BANHEIRO MASC. DO PÁTIO) </t>
  </si>
  <si>
    <t>13.205.0025-A</t>
  </si>
  <si>
    <t>PROTECAO DE PORTAS EM VINIL DE ALTO IMPACTO,COM ACABAMENTO TEXTURIZADO,VARIAS CORES.FORNECIMENTO E COLOCACAO</t>
  </si>
  <si>
    <t xml:space="preserve">0,40M DE ALTURA X 0,90M DE ALTURA X 04 UNIDADES (INTERNAS: 1 BANHEIRO FEM. + 1 BANHEIRO MASC.) </t>
  </si>
  <si>
    <t xml:space="preserve">18 UNIDADES (1 UNIDADE NAS SALAS: 04 A 14 + 1 INFORMÁTICA + 1 BRINQUEDOTECA + 1 SALA DOS PROFESSORES + 1 COPA + 1 SALA DE APOIO + 1 COORDENAÇÃO + 1 SALA DE O.S.) </t>
  </si>
  <si>
    <t xml:space="preserve">BARRAS VERTICAIS NO BOX PNE, 06 UNIDADES (2 NO BANH. MASC. E 2 NO BANHEIRO FEMININO) </t>
  </si>
  <si>
    <t xml:space="preserve">02 UNIDADES NAS PORTAS INTERNAS DE 90CM (1 BANHEIRO FEM. + 1 BANHEIRO MASC.) </t>
  </si>
  <si>
    <t xml:space="preserve">20 UNIDADES (9 BANHEIRO FEM. + 9 BANHEIRO MASC. + 2 BANHEIRO DOS PROFESSORES) </t>
  </si>
  <si>
    <t xml:space="preserve">18 UNIDADES (8 BANHEIRO FEM. + 8 BANHEIRO MASC. + 2 BANHEIRO DOS PROFESSORES) </t>
  </si>
  <si>
    <t>14 UNIDADES (7 BANHEIRO FEM. + 7 BANHEIRO MASC.) + 02 UNIDADES NO BANHEIRO DOS PROFESSORES + 01 UNIDADE NO BANHEIRO DE SERVIÇO</t>
  </si>
  <si>
    <t>04 UNIDADES (2 BANHEIRO FEM. + 2 BANHEIRO MASC.) + 01 UNIDADE NO BANHEIRO DOS PROFESSORES + 01 UNIDADE NO BANHEIRO DE SERVIÇO</t>
  </si>
  <si>
    <t>13 UNIDADES (5 BANHEIRO FEM. + 5 BANHEIRO MASC.) + 02 UNIDADES NO BANHEIRO DOS PROFESSORES + 01 UNIDADE NO BANHEIRO DE SERVIÇO</t>
  </si>
  <si>
    <t>18.082.0053-A</t>
  </si>
  <si>
    <t>BANCA DE GRANITO CINZA ANDORINHA,COM 3CM DE ESPESSURA,COM ABERTURA PARA 4 CUBAS(EXCLUSIVE ESTAS),SOBRE APOIOS DE ALVENARIA DE MEIA VEZ E VERGA DE CONCRETO,SEM REVESTIMENTO.FORNECIMENTO E COLOCACAO</t>
  </si>
  <si>
    <t>18.082.0050-A</t>
  </si>
  <si>
    <t>BANCA DE GRANITO CINZA ANDORINHA,COM 3CM DE ESPESSURA,COM ABERTURA PARA 1 CUBA(EXCLUSIVE ESTA),SOBRE APOIOS DE ALVENARIADE MEIA VEZ E VERGA DE CONCRETO,SEM REVESTIMENTO.FORNECIMENTO E COLOCACAO</t>
  </si>
  <si>
    <t>18.082.0051-A</t>
  </si>
  <si>
    <t>BANCA DE GRANITO CINZA ANDORINHA,COM 3CM DE ESPESSURA,COM ABERTURA PARA 2 CUBAS(EXCLUSIVE ESTAS),SOBRE APOIOS DE ALVENARIA DE MEIA VEZ E VERGA DE CONCRETO,SEM REVESTIMENTO.FORNECIMENTO E COLOCACAO</t>
  </si>
  <si>
    <t xml:space="preserve">3,05M X 0,50M X 02 UNIDADES (1 BANH. MASC. E 1 NO BANH. FEM.) </t>
  </si>
  <si>
    <t>0,75M X 0,50M X 02 UNIDADES (PNE: 1 BANH. MASC. E 1 NO BANH. FEM.) + 2,00M X 0,50M (BANH. DE SERVIÇO)</t>
  </si>
  <si>
    <t>2,00M X 0,50M (BANH. DOS PROFESSORES)</t>
  </si>
  <si>
    <t>18.082.0105-A</t>
  </si>
  <si>
    <t>FRONTISPICIO DE GRANITO CINZA ANDORINHA,COM SECAO DE 10X2CM,INCLUSIVE REJUNTAMENTO.FORNECIMENTO E COLOCACAO</t>
  </si>
  <si>
    <t>BANHEIRO FEM. (4,30M) + BANHEIRO MASC. (4,30M) + BANHEIRO DOS PROFESSORES (2,50M) + BANHEIRO DE SERVIÇO (3,00M)</t>
  </si>
  <si>
    <t>06 UNIDADES (3 NO BANH. MASC. E 3 NO BANH. FEM.)</t>
  </si>
  <si>
    <t>04 UNIDADES (2 NO BANH. MASC. E 2 NO BANH. FEM.)</t>
  </si>
  <si>
    <t>02 UNIDADES (1 NO BANH. MASC. E 1 NO BANH. FEM.)</t>
  </si>
  <si>
    <t>BANHEIRO FEM. (01) + BANHEIRO MASC. (01) + BANHEIRO DOS PROFESSORES (01) + BANHEIRO DE SERVIÇO (01)</t>
  </si>
  <si>
    <t>BANHEIRO FEM. (05) + BANHEIRO MASC. (05) + BANHEIRO DOS PROFESSORES (01) + BANHEIRO DE SERVIÇO (01)</t>
  </si>
  <si>
    <t>01 UNIDADE</t>
  </si>
  <si>
    <t>01 UNIDADE (BANHEIROS FEM. E MASC.)</t>
  </si>
  <si>
    <t>0,80M X 0,80M (TAMPA QUEBRADA NA PARTE DA FRENTE DA ESCOLA)</t>
  </si>
  <si>
    <t>18.027.0472-A</t>
  </si>
  <si>
    <t>LUMINARIA DE SOBREPOR, FIXADA EM LAJE OU FORRO, TIPO CALHA,CHANFRADA OU PRISMATICA, COMPLETA, COM LAMPADA LED TUBULARDE 1 X 18W. FORNECIMENTO E COLOCACAO</t>
  </si>
  <si>
    <t>18.027.0476-A</t>
  </si>
  <si>
    <t>LUMINARIA DE SOBREPOR, FIXADA EM LAJE OU FORRO, TIPO CALHA,CHANFRADA OU PRISMATICA, COMPLETA, COM LAMPADA LED TUBULARDE 2 X 18W. FORNECIMENTO E COLOCACAO</t>
  </si>
  <si>
    <t>15.015.0040-A</t>
  </si>
  <si>
    <t>INSTALACAO DE UM CONJUNTO DE 2 PONTOS DE LUZ,EMBUTIDO NA LAJE,EQUIVALENTE A 5 VARAS DE ELETRODUTO DE PVC RIGIDO DE 1/2",33,00M DE FIO 2,5MM2,CAIXAS,CONEXOES,LUVAS,CURVA E INTERRUPTOR DE EMBUTIR COM PLACA FOSFORESCENTE,INCLUSIVE ABERTURA E FECHAMENTO DE RASGO EM ALVENARIA</t>
  </si>
  <si>
    <t>15.015.0250-A</t>
  </si>
  <si>
    <t>INSTALACAO DE PONTO DE TOMADA, EMBUTIDO NA ALVENARIA, EQUIVALENTE A 2 VARAS DE ELETRODUTO DE PVC RIGIDO DE 3/4", 18,00M DE FIO 2,5MM2, CAIXAS, CONEXOES E TOMADA DE EMBUTIR, 2P+T, 10A, PADRAO BRASILEIRO, COM PLACA FOSFORESCENTE, INCLUSIVE ABERTURA E FECHAMENTO DE RASGO EM ALVENARIA</t>
  </si>
  <si>
    <t>15.005.0202-A</t>
  </si>
  <si>
    <t>INSTALACAO E ASSENTAMENTO DE AR CONDICIONADO TIPO SPLIT DE 18000 BTU'S,COM 1 CONDENSADOR E 1 EVAPORADOR,(VIDE FORNECIMENTO DO APARELHO NA FAMILIA 18.030)INCLUSIVE ACESSORIOS DE FIXACAO,EXCLUSIVE ALIMENTACAO ELETRICA E INTERLIGACAO AO CONDENSAOR/EVAPORADOR (VIDE ITEM 15.005.0255)</t>
  </si>
  <si>
    <t>15.005.0255-A</t>
  </si>
  <si>
    <t>TUBULACAO EM COBRE PARA INTERLIGACAO DE SPLIT SYSTEM AO CONDENSADOR/EVAPORADOR,INCLUSIVE ISOLAMENTO TERMICO,ALIMENTACAOELETRICA,CONEXOES E FIXACAO,PARA APARELHOS ATE 48000 BTU'S.FORNECIMENTO E INSTALACAO</t>
  </si>
  <si>
    <t>15.004.0060-B</t>
  </si>
  <si>
    <t>INSTALACAO E ASSENTAMENTO DE PIA COM 1 CUBA(EXCLUSIVE FORNECIMENTO DO APARELHO),COMPREENDENDO:3,00M DE TUBO DE PVC DE 25MM,3,00M DE TUBO DE PVC DE 50MM,RABICHO E CONEXOES</t>
  </si>
  <si>
    <t>15.004.0190-A</t>
  </si>
  <si>
    <t>LIGACAO A COLUNA DE GORDURA DO ESGOTO DE PIAS EM TUBO DE PVCDE 50MM SOLDAVEL,COM CONEXOES</t>
  </si>
  <si>
    <t>18.016.0030-A</t>
  </si>
  <si>
    <t>BANCA DE ACO INOXIDAVEL, MEDINDO APROXIMADAMENTE (2,00X0,55)M, EM CHAPA 18.304, COM UMA CUBA MEDINDO APROXIMADAMENTE (500X400X200)MM,EM CHAPA 20304, VALVULA DE ESCOAMENTO TIPO AMERICANA 1623, SIFAO 1680 1.1/2" X 1.1/2", SOBRE APOIOS DE ALVENARIADE MEIA VEZ E VERGA DE CONCRETO, SEM REVESTIMENTO, EXCLUSIVE TORNEIRA. FORNECIMENTO E COLOCACAO</t>
  </si>
  <si>
    <t>18.009.0074-A</t>
  </si>
  <si>
    <t>TORNEIRA PARA PIA,COM MISTURADOR,AREJADOR,TUBO MOVEL,TIPO BANCA,1256 OU SIMILAR,DE 1/2"X17CM APROXIMADAMENTE,EM METAL CROMADO.FORNECIMENTO</t>
  </si>
  <si>
    <t>PIA DA COPA, AO LADO DA SALA DE APOIO</t>
  </si>
  <si>
    <t>15.029.0015-A</t>
  </si>
  <si>
    <t>REGISTRO DE GAVETA,EM BRONZE,COM DIAMETRO DE 2".FORNECIMENTOE COLOCACAO</t>
  </si>
  <si>
    <t>17 UNIDADES (2 BANHEIRO FEM. + 2 BANHEIRO MASC. + 5 NA BRINQUEDOTECA + 2 NO BANHEIRO DOS PROFESSORES + 2 NO BANHEIRO DE SERVIÇO + 4 NA COPA)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</si>
  <si>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</si>
  <si>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</si>
  <si>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</si>
  <si>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</si>
  <si>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</si>
  <si>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</si>
  <si>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</si>
  <si>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</si>
  <si>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</si>
  <si>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</si>
  <si>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</si>
  <si>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</si>
  <si>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</si>
  <si>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</si>
  <si>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2.5.16</t>
  </si>
  <si>
    <t>2.5.17</t>
  </si>
  <si>
    <t>2.5.18</t>
  </si>
  <si>
    <t>2.5.19</t>
  </si>
  <si>
    <t>2.5.20</t>
  </si>
  <si>
    <t>2.5.21</t>
  </si>
  <si>
    <t>2.5.22</t>
  </si>
  <si>
    <t>2.5.23</t>
  </si>
  <si>
    <t>2.5.24</t>
  </si>
  <si>
    <t>2.5.25</t>
  </si>
  <si>
    <t>2.5.26</t>
  </si>
  <si>
    <t>2.6.1</t>
  </si>
  <si>
    <t>2.6.2</t>
  </si>
  <si>
    <t>2.6.3</t>
  </si>
  <si>
    <t>2.6.4</t>
  </si>
  <si>
    <t>2.6.5</t>
  </si>
  <si>
    <t>2.6.7</t>
  </si>
  <si>
    <t>2.6.8</t>
  </si>
  <si>
    <t>2.6.9</t>
  </si>
  <si>
    <t>2.6.10</t>
  </si>
  <si>
    <t>2.6.11</t>
  </si>
  <si>
    <t>2.6.12</t>
  </si>
  <si>
    <t>2.6.13</t>
  </si>
  <si>
    <t>2.6.14</t>
  </si>
  <si>
    <t>2.6.15</t>
  </si>
  <si>
    <t>15.020.0160-A</t>
  </si>
  <si>
    <t>LAMPADA LED,BULBO,PAR 20,7W,120V,BASE E-27.FORNECIMENTO E COLOCACAO</t>
  </si>
  <si>
    <t>2.6.6</t>
  </si>
  <si>
    <t>06 UNIDADES NO ESCOVÓDROMO</t>
  </si>
  <si>
    <t>12 UNIDADES (9 LUMINÁRIAS DE INSTALAÇÕES NOVAS E 3 SUBSTITUIÇÕES DAS LÂMPADAS EXISTENTES FLUORESCENTES), CONFORME PROJETO EM ANEXO</t>
  </si>
  <si>
    <t>15.015.0214-A</t>
  </si>
  <si>
    <t>INSTALACAO APARENTE DE PONTO DE VENTILADOR DE TETO,EQUIVALENTE A 2 VARAS DE ELETRODUTO DE PVC RIGIDO DE 3/4",12,00M DE FIO 2,5MM2,CONEXOES,LUVAS E CURVA,EXCLUSIVE INTERRUPTOR E ESPELHO</t>
  </si>
  <si>
    <t>18.035.0005-A</t>
  </si>
  <si>
    <t>VENTILADOR DE TETO,COM 3 PAS EM ACO GALVANIZADO,INCLUSIVE INTERRUPTOR DE COMANDO.FORNECIMENTO E COLOCACAO</t>
  </si>
  <si>
    <t>2M X 10 UNIDADES</t>
  </si>
  <si>
    <t>DEPÓSITO DA COZINHA + DESP. 01 + DESP. 02 + HIGIENIZAÇÃO + ESCOVÓDROMO + SALA DE APOIO + COPA + BANH. DE SERVIÇO + BANH. DOS PROFESSORES + CORREDOR DA SALA DOS PROFESSORES</t>
  </si>
  <si>
    <t>(2X COZINHA) + REFEITÓRIO + (4X CORREDOR ALA ANTIGA DE ENSINO)</t>
  </si>
  <si>
    <t>AUDITÓRIO + SALAS 05 A 12 + (2X REFEITÓRIO) + CORREDOR ALA ANTIGA DE ENSINO</t>
  </si>
  <si>
    <t>AUDITÓRIO + SALA 04 + COORDENAÇÃO + SALA DE O.S. + SALA DOS PROFESSORES + BRINQUEDOTECA + (2X CORREDOR ALA ANTIGA DE ENSINO)</t>
  </si>
  <si>
    <t>4 X (AUDITÓRIO + SALAS 05 A 12 + COZINHA + REFEITÓRIO + SALA DE XEROX + SALA DE INFORMÁTICA + SALA DE APOIO + COORDENAÇÃO + SALA DE O.S.) + 2X (DEPÓSITO DA COZINHA + DESP. 01 + DESP. 02 + HIGIENIZAÇÃO + ESCOVÓDROMO + DEPÓSITO)</t>
  </si>
  <si>
    <t>15.015.0203-A</t>
  </si>
  <si>
    <t>INSTALACAO DE PONTO DE TELEFONE OU LOGICA,COMPREENDENDO:5 VARAS DE ELETRODUTO DE 3/4",CONEXOES E CAIXAS</t>
  </si>
  <si>
    <t>03 UNIDADES</t>
  </si>
  <si>
    <t>10 UNIDADES (SALAS 05 A 12 + SALA DE XEROX + SALA DE INFORMÁTICA)</t>
  </si>
  <si>
    <t>15.007.0507-A</t>
  </si>
  <si>
    <t>QUADRO DE DISTRIBUICAO DE ENERGIA PARA DISJUNTORES TERMO-MAGNETICOS UNIPOLARES,DE EMBUTIR,COM PORTA E BARRAMENTOS DE FASE,NEUTRO E TERRA,TRIFASICO,PARA INSTALACAO DE ATE 24 DISJUNTORES COM DISPOSITIVO PARA CHAVE GERAL.FORNECIMENTO E COLOCACAO.</t>
  </si>
  <si>
    <t>10 UNIDADES (93 TOMADAS / 10 TOMADAS POR CIRCUITO) + 10 UNIDADES (AR CONDICIONADO)</t>
  </si>
  <si>
    <t>2.4.5</t>
  </si>
  <si>
    <t>2.4.6</t>
  </si>
  <si>
    <t>2.4.7</t>
  </si>
  <si>
    <t>2.4.8</t>
  </si>
  <si>
    <t>2.5.15</t>
  </si>
  <si>
    <t>17.018.0110-A</t>
  </si>
  <si>
    <t>PINTURA COM TINTA LATEX SEMIBRILHANTE,FOSCA OU ACETINADA,CLASSIFICACAO PREMIUM OU STANDARD (NBR 15079),PARA INTERIOR E EXTERIOR,BRANCA OU COLORIDA,SOBRE TIJOLO,CONCRETO LISO,CIMENTO SEM AMIANTO,E REVESTIMENTO,INCLUSIVE LIXAMENTO,UMA DEMAO DE SELADOR ACRILICO E DUAS DEMAOS DE ACABAMENTO</t>
  </si>
  <si>
    <t>REPINTURA COM TINTA LATEX SEMIBRILHANTE, FOSCA, OU ACETINADA, CLASSIFICACAO PREMIUM OU STANDARD (NBR 15079), PARA INTERIOR OU EXTERIOR, SOBRE SUPERFICIE EM BOM ESTADO E NA COR EXISTENTE, INCLUSIVE LIMPEZA, LEVE LIXAMENTO COM LIXA FINA, UMA DEMAO DE FUNDO PREPARADOR E UMA DE ACABAMENTO</t>
  </si>
  <si>
    <t>1.28</t>
  </si>
  <si>
    <t>2.3.17</t>
  </si>
  <si>
    <t>13.175.0010-A</t>
  </si>
  <si>
    <t>FORRO DE PVC EM REGUAS DE 200MM DE LARGURA, ESPESSURA IGUALOU SUPERIOR A 8MM, ENCAIXADOS ENTRE SI, INCLUSIVE RODAFORRODE PVC PARA ACABAMENTO, ESTRUTURA EM METALON (20X20)MM E PARAFUSOS DE FIXACAO. FORNECIMENTO E COLOCACAO</t>
  </si>
  <si>
    <t>05.001.0065-A</t>
  </si>
  <si>
    <t>REMOCAO DE FORRO OU LAMBRI DE FRISOS DE MADEIRA OU PVC,PLACAS DE AGLOMERADO PRENSADO OU SEMELHANTES,INCLUSIVE O ENGRADAMAMENTO</t>
  </si>
  <si>
    <t xml:space="preserve">AUDITÓRIO: 88,18M2 + SALA 04: 43,04M2 + SALA 05: 44,23M2 + SALA 06: 43,67M2 + SALA 07: 43,67M2 + SALA 08: 47,57M2 + SALA 09: 35,97M2 + SALA 10: 35,97M2 + SALA 11: 35,31M2 + SALA 12: 35,97M2 + SALA 13: 34,98M2 + SALA 14: 35,64M2 + CORREDORES DAS SALAS: 322,33M2 (RETIRADOS DO CAD) </t>
  </si>
  <si>
    <t>PAREDES (BANHEIRO FEM.: 27,84M DE COMPRIMENTO X 1,10M DE ALTURA + BANHEIRO MASC.: 27,84M DE COMPRIMENTO X 1,10M DE ALTURA + BANHEIRO DOS PROFESSORES: 13,17M DE COMPRIMENTO X 1,10M DE ALTURA + BANHEIRO DE SERVIÇO: 7,35M DE COMPRIMENTO X 1,10M DE ALTURA + BRINQUEDOTECA: 20,13M DE COMPRIMENTO X 3,00M DE ALTURA) + TETO (BANH. FEM.: 25,03M2 + BANH. MASC.: 25,03M2 + BANH. DOS PRROFESSORES: 7,90M2 + BANHEIRO DE SERVIÇO: 3,50M2 + BRINQUEDOTECA: 24,98M2)</t>
  </si>
  <si>
    <t xml:space="preserve">0,80M X 2,10M X 2,5 X 18 UNIDADES (1 UNIDADE NAS SALAS: 04 A 14 + 1 INFORMÁTICA + 1 BRINQUEDOTECA + 1 SALA DOS PROFESSORES + 1 COPA + 1 SALA DE APOIO + 1 COORDENAÇÃO + 1 SALA DE O.S.) + 0,90M X 2,10M X 2,5 X 02 UNIDADES (1 BANHEIRO FEM.  + 1 BANHEIRO MASC.) + 0,60M X 1,50M X 2,5 X 18 UNIDADES (8 BANHEIRO FEM. + 8 BANHEIRO MASC. + 2 BANHEIRO DOS PROFESSORES) + 0,90M X 1,80M X 2,5 X 02 UNIDADES (1 BANHEIRO FEM.  + 1 BANHEIRO MASC.) </t>
  </si>
  <si>
    <t>2.7.1</t>
  </si>
  <si>
    <t>2.7.2</t>
  </si>
  <si>
    <t>2.7.3</t>
  </si>
  <si>
    <t>0,80M X 2,10M X 2,5 X 13 UNIDADES (1 AUDITÓRIO + 2 BANHEIROS INFANTIS + 2 COZINHA + 1 DEPÓSITO DA COZINHA + 1 DESP. 01 + 1 DESP. 02 + 1 BANH. DE SERVIÇO + 1 BANH. PROFESSORES + 1 DEPÓSITO + 1 XEROX + 1 INFORMÁTICA) + 0,60M X 1,50M X 2,5 X 7 UNIDADES (BANHEIROS INFANTIS) + BEIRAIS APARENTES DO TELHADO (159,93M2, RETIRADO DO CAD)</t>
  </si>
  <si>
    <t>ALAMBRADO: (perímetro da circunferência do alambrado: 2 * 3,14 * 0,025 x comprimento: 11,00m x 2 tubos horizontais  x 2 cabeceiras) + (perímetro da circunferência do alambrado: 2 * 3,14 * 0,025 x altura: 2,00m x 6 tubos verticais x 2 cabeceiras) + (perímetro da circunferência do alambrado: 2 * 3,14 * 0,025 x comprimento: 22,50m x 2 tubos horizontais x 2 laterais) + (perímetro da circunferência do alambrado: 2 * 3,14 * 0,025 x altura: 2,00m x 7 tubos verticais x 2 laterais) + MASTROS DAS BANDEIRAS: (perímetro da circunferência do alambrado: 2 * 3,14 * 0,05 x comprimento: 5,50m x 3 tubos horizontais)</t>
  </si>
  <si>
    <t>15.004.0110-A</t>
  </si>
  <si>
    <t>INSTALACAO E ASSENTAMENTO DE VASO SANITARIO COM CAIXA ACOPLADA(EXCLUSIVE ESTES)EM PAVIMENTO TERREO,COMPREENDENDO:INSTALACAO HIDRAULICA COM 2,00M DE TUBO DE PVC DE 25MM,COM CONEXOES,ATE A CAIXA,LIGACAO DE ESGOTO COM 3,00M DE TUBO DE PVC DE 100MM A CAIXA DE INSPECAO E TUBO DE VENTILACAO,INCLUSIVE CONEXOES,EXCLUSIVE O TUBO DE VENTILACAO</t>
  </si>
  <si>
    <t xml:space="preserve">03 UNIDADES (1 BANHEIRO SECRETARIA + 1 BANHEIRO ESPERA + 1 BANHEIRO DIRETORIA) </t>
  </si>
  <si>
    <t xml:space="preserve">08 UNIDADES (4 BANHEIRO FEM. DO PÁTIO + 4 BANHEIRO MASC. DO PÁTIO) </t>
  </si>
  <si>
    <t xml:space="preserve">11 UNIDADES (1 BANHEIRO SECRETARIA + 1 BANHEIRO ESPERA + 1 BANHEIRO DIRETORIA + 4 BANHEIRO FEM. DO PÁTIO + 4 BANHEIRO MASC. DO PÁTIO) </t>
  </si>
  <si>
    <t xml:space="preserve">05 UNIDADES (1 BANHEIRO SECRETARIA + 1 BANHEIRO ESPERA + 1 BANHEIRO DIRETORIA + 1 BANHEIRO FEM. DO PÁTIO + 1 BANHEIRO MASC. DO PÁTIO) </t>
  </si>
  <si>
    <t xml:space="preserve">09 UNIDADES (1 BANHEIRO SECRETARIA + 1 BANHEIRO ESPERA + 1 BANHEIRO DIRETORIA + 3 BANHEIRO FEM. DO PÁTIO + 3 BANHEIRO MASC. DO PÁTIO) </t>
  </si>
  <si>
    <t xml:space="preserve">07 UNIDADES (1 BANHEIRO SECRETARIA + 1 BANHEIRO ESPERA + 1 BANHEIRO DIRETORIA + 2 BANHEIRO FEM. DO PÁTIO + 2 BANHEIRO MASC. DO PÁTIO) </t>
  </si>
  <si>
    <t>1,00M X 0,50M X 03 UNIDADES (1 BANHEIRO SECRETARIA + 1 BANHEIRO ESPERA + 1 BANHEIRO DIRETORIA)</t>
  </si>
  <si>
    <t>1,20M X 0,50M X 02 UNIDADES (1 BANHEIRO FEM. DO PÁTIO + 1 BANH. MASC. DO PÁTIO)</t>
  </si>
  <si>
    <t>18.002.0014-A</t>
  </si>
  <si>
    <t>LAVATORIO DE LOUCA BRANCA,COM COLUNA SUSPENSA,PARA PESSOAS COM NECESSIDADES ESPECIFICAS,COM MEDIDAS EM TORNO DE 45,5X35,5CM,INCLUSIVE SIFAO EM PVC FLEXIVEL,VALVULA DE ESCOAMENTO CROMADA,RABICHO EM PVC E TORNEIRA DE FECHAMENTO AUTOMATICO DEPAREDE,ANTIVANDALISMO DE 85MM,PARA LAVATORIO.FORNECIMENTO</t>
  </si>
  <si>
    <t>2 UNIDADES (1 BANHEIRO FEM. DO PÁTIO + 1 BANH. MASC. DO PÁTIO)</t>
  </si>
  <si>
    <t>1,50M X 3 UNIDADES (1 BANHEIRO SECRETARIA + 1 BANHEIRO ESPERA + 1 BANHEIRO DIRETORIA) +  1,70M X 2 UNIDADES (1 BANHEIRO FEM. DO PÁTIO + 1 BANHEIRO MASC. DO PÁTIO)</t>
  </si>
  <si>
    <t>3,50M X 1,00M (BANH. MASC.) + 3,50M X 1,00M (BANH. FEM.) + 1,50M X 1,00M (BANH. DOS PROFESSORES) + 1,50M X 1,00M (BANH. DE SERVIÇO)</t>
  </si>
  <si>
    <t>02 UNIDADES (1 BANHEIRO DOS PROFESSORES + 1 COPA)</t>
  </si>
  <si>
    <t xml:space="preserve">0,80M X 1,00M X 03 UNIDADES (1 BANH. DIRETORIA + 1 BANH. SECRETARIA + 1 BANH. ESPERA) + 1,00M X 1,00M X 04 UNIDADES (2 BANH. MASC. DO PÁTIO + 2 BANH. FEM. DO PÁTIO) </t>
  </si>
  <si>
    <t>PIA DA COPA, AO LADO DA DIRETORIA</t>
  </si>
  <si>
    <t>05 UNIDADES (1 BANHEIRO FEM. DO PÁTIO + 1 BANH. FEM. DO PÁTIO + 1 BANH. DIRETORIA + 1 BANHEIRO SECRETARIA + 1 BANHEIRO ESPERA)</t>
  </si>
  <si>
    <t>34 UNIDADES (2 BANHEIRO FEM. DO PÁTIO + 2 BANH. FEM. DO PÁTIO + 12 DIRETORIA + 1 BANH. DIRETORIA + 12 SECRETARIA/ESPERA + 1 BANHEIRO SECRETARIA + 1 BANHEIRO ESPERA + 3 DEPÓSITO)</t>
  </si>
  <si>
    <t>7 UNIDADES (1 DIRETORIA + 1 BANH. DIRETORIA + 1 BANHEIRO SECRETARIA + 1 BANHEIRO ESPERA + 1 CORREDOR DO BANHEIRO DA ESPERA + 1 COPA + 1 CORREDOR DIRETORIA)</t>
  </si>
  <si>
    <t>(2X ESPERA) + (2X SECRETARIA) + (2X DIRETORIA)</t>
  </si>
  <si>
    <t xml:space="preserve">1 BANHEIRO FEM. DO PÁTIO + 1 BANH. FEM. DO PÁTIO </t>
  </si>
  <si>
    <t>18 UNIDADES (4 ESPERA + 4 SECRETARIA + 4 DIRETORIA + 06 NOS BANHEIROS DO PÁTIO)</t>
  </si>
  <si>
    <t>140 UNIDADES (33 LUMINÁRIAS DE INSTALAÇÕES NOVAS E 107 SUBSTITUIÇÕES DAS LÂMPADAS EXISTENTES FLUORESCENTES), CONFORME PROJETO EM ANEXO</t>
  </si>
  <si>
    <t>03 UNIDADES (1 ESPERA + 1 SECRETARIA + 1 DIRETORIA)</t>
  </si>
  <si>
    <t>2M X 3 UNIDADES</t>
  </si>
  <si>
    <t>06 UNIDADES (2 ESPERA + 2 SECRETARIA + 2 DIRETORIA)</t>
  </si>
  <si>
    <t>02 UNIDADES (1 SECRETARIA + 1 DIRETORIA)</t>
  </si>
  <si>
    <t>4 UNIDADES (34 TOMADAS / 10 TOMADAS POR CIRCUITO) + 3 UNIDADES (AR CONDICIONADO) + 03 UNIDADES (1 UNIDADE PARA CADA 02 VENTILADORES)</t>
  </si>
  <si>
    <t>01 UNIDADE (PRÉDIO)</t>
  </si>
  <si>
    <t>PAREDES (AUDITÓRIO: 39,40M DE COMPRIMENTO X 3,00M DE ALTURA + SALA 04: 25,86M DE COMPRIMENTO X 3,00M DE ALTURA + SALA 05: 26,66M DE COMPRIMENTO X 3,00M DE ALTURA + SALA 06: 26,50M DE COMPRIMENTO X 3,00M DE ALTURA + SALA 07: 26,50M DE COMPRIMENTO X 3,00M DE ALTURA + SALA 08: 27,60M DE COMPRIMENTO X 3,00M DE ALTURA + SALA 09: 24,10M DE COMPRIMENTO X 3,00M DE ALTURA + SALA 10: 24,10M DE COMPRIMENTO X 3,00M DE ALTURA + SALA 11: 23,90M DE COMPRIMENTO X 3,00M DE ALTURA + SALA 12: 24,10M DE COMPRIMENTO X 3,00M DE ALTURA + SALA 13: 23,80M DE COMPRIMENTO X 3,00M DE ALTURA + SALA 14: 24,00M DE COMPRIMENTO X 3,00M DE ALTURA + REFEITÓRIO: 46,80M DE COMPRIMENTO X 3,00M DE ALTURA + INFORMÁTICA: 21,00M DE COMPRIMENTO X 3,00M DE ALTURA + XEROX: 16,64M DE COMPRIMENTO X 3,00M DE ALTURA + DEPÓSITO: 20,90M DE COMPRIMENTO X 3,00M DE ALTURA + SALA DOS PROFESSORES: 17,23M DE COMPRIMENTO X 3,00M DE ALTURA + COPA: 13,40M DE COMPRIMENTO X 3,00M DE ALTURA + APOIO: 13,40M DE COMPRIMENTO X 3,00M DE ALTURA + COORDENAÇÃO: 12,88M DE COMPRIMENTO X 3,00M DE ALTURA + O.S.: 13,09M DE COMPRIMENTO X 3,00M DE ALTURA + CORREDORES E PARTE EXTERNA DAS SALAS: 399,67M DE COMPRIMENTO X 3,00M DE ALTURA) + TETO (AUDITÓRIO: 88,18M2 + SALA 04: 43,04M2 + SALA 05: 44,23M2 + SALA 06: 43,67M2 + SALA 07: 43,67M2 + SALA 08: 47,57M2 + SALA 09: 35,97M2 + SALA 10: 35,97M2 + SALA 11: 35,31M2 + SALA 12: 35,97M2 + SALA 13: 34,98M2 + SALA 14: 35,64M2 + REFEITÓRIO: 112,29M2 + ESCOVÓDROMO: 13,95M2 + HIGIENIZAÇÃO: 14,80M2 + COZINHA: 35,31M2 + DEPÓSITO DA COZINHA: 7,38M2 + DESP.01: 15,29M2 + DESP.02: 9,90M2 + INFORMÁTICA: 27,60M2 + SALA DE XEROX: 16,30M2 + DEPÓSITO: 25,41M2 + SALA DOS PROFESSORES: 18,74M2 + COPA: 11,10M2 + COORDENAÇÃO: 10,83M2 + SALA DE APOIO: 11,10M2 + O.S.: 11,16M2) + MURO: 182,66M DE COMPRIMENTO X 1,10M DE ALTURA X 2 LADOS</t>
  </si>
  <si>
    <t>REMOCAO DE PAVIMENTACAO DE LAJOTAS DE CONCRETO, ALTAMENTE VIBRADO, INTERTRAVADO, PRE-FABRICADO</t>
  </si>
  <si>
    <t>15.007.0498-A</t>
  </si>
  <si>
    <t>QUADRO DE DISTRIBUICAO DE ENERGIA PARA DISJUNTORES TERMO-MAGNETICOS UNIPOLARES,DE EMBUTIR,COM PORTA E BARRAMENTOS DE FASE,NEUTRO E TERRA,PARA INSTALACAO DE ATE 6 DISJUNTORES SEM DISPOSITIVO PARA CHAVE GERAL.FORNECIMENTO E COLOCACAO</t>
  </si>
  <si>
    <t>CONCRETO ARMADO, FCK=20MPA, INCLUINDO MATERIAIS PARA 1,00M3 DE CONCRETO (IMPORTADO DE USINA) ADENSADO E COLOCADO, 12,00M2 DE AREA MOLDADA, FORMAS CONFORME O ITEM 11.004.0022,60KG DE ACOCA-50, INCLUSIVE MAO-DE-OBRA PARA CORTE, DOBRAGEM, MONTAGEM E COLOCACAO DAS FORMAS, EXCLUSIVE ESCORAMENTO</t>
  </si>
  <si>
    <t>12.003.0076-A</t>
  </si>
  <si>
    <t>ALVENARIA DE TIJOLOS CERAMICOS FURADOS 10X20X20CM, ASSENTES COM ARGAMASSA DE CIMENTO E SAIBRO, NO TRACO 1:8, EM PAREDES DE MEIA VEZ(0,10M), DE SUPERFICIE CORRIDA, ATE 1,50M DE ALTURA E MEDIDA PELA AREA REAL</t>
  </si>
  <si>
    <t>EMBOCO COM ARGAMASSA DE CIMENTO E AREIA,NO TRACO 1:3 COM 2CMDE ESPESSURA,INCLUSIVE CHAPISCO DE CIMENTO E AREIA,NO TRACO1:3,COM 9MM DE ESPESSURA</t>
  </si>
  <si>
    <t>17.018.0080-A</t>
  </si>
  <si>
    <t>PINTURA COM TINTA LATEX,CLASSIFICACAO STANDARD (NBR 15079),PARA EXTERIOR,INCLUSIVE LIXAMENTOS,LIMPEZA,UMA DEMAO DE SELADOR ACRILICO E DUAS DEMAOS DE ACABAMENTO</t>
  </si>
  <si>
    <t>15.008.0030-A</t>
  </si>
  <si>
    <t>FIO DE COBRE COM ISOLAMENTO TERMOPLASTICO, ANTICHAMA, COMPREENDENDO: PREPARO, CORTE E ENFIACAO EM ELETRODUTOS, NA BITOLA DE 6MM2,450/750V. FORNECIMENTO E COLOCACAO</t>
  </si>
  <si>
    <t>01 UNIDADE NA BASE DA CAIXA DE PASSAGEM - ATERRAMENTO DO QUADRO DE DISTRIBUIÇÃO</t>
  </si>
  <si>
    <t>01 QUADRO PARA DISTRIBUIÇÃO DOS CIRCUITOS</t>
  </si>
  <si>
    <t>QUADRO DE DISTRIBUIÇÃO DE ENERGIA: CINTA INFERIOR (0,10m x 0,30m x 0,80m de comprimento) + COBERTURA P/ PROTEÇÃO DO QUADRO (0,90m de comprimento x 0,20m de largura x 0,05m de espessura)</t>
  </si>
  <si>
    <t>1,50m de altura x 0,80m de largura (QUADRO DE DISTRIBUIÇÃO DE ENERGIA)</t>
  </si>
  <si>
    <t>QUADRO DE DISTRIBUIÇÃO DE ENERGIA: FRENTE (1,50m de altura x 0,80m de largura) + LATERAIS (1,50m de altura x 0,10m de largura x 02)</t>
  </si>
  <si>
    <t>01 CAIXA DE PASSAGEM NA BASE DO QUADRO DE DISTRIBUIÇÃO</t>
  </si>
  <si>
    <t>PASSAGEM DOS ELETRODUTOS, LIGANDO O PRÉDIO NOVO EXISTENTE A CAIXA DE PASSAGEM NA BASE DO QUADRO DE DISTRIBUIÇÃO: (3,00m de comprimento x 0,60m de largura)</t>
  </si>
  <si>
    <t>PASSAGEM DOS ELETRODUTOS, LIGANDO O PRÉDIO NOVO EXISTENTE A CAIXA DE PASSAGEM NA BASE DO QUADRO DE DISTRIBUIÇÃO: (3,00m de comprimento x 0,30m de largura x 0,20m de profundidade)</t>
  </si>
  <si>
    <t>80% do item ESCAVAÇÃO</t>
  </si>
  <si>
    <t>02 UNIDADES (01 UNIDADE PARA CADA CIRCUITO)</t>
  </si>
  <si>
    <t>QUADRA ESPORTIVA COBERTA</t>
  </si>
  <si>
    <t>17.017.0350-A</t>
  </si>
  <si>
    <t>PINTURA INTERNA OU EXTERNA SOBRE FERRO GALVANIZADO OU ALUMINIO, USANDO FUNDO PARA GALVANIZADO COM PRIMER EPOXI ISOCIANATO, INCLUSIVE LIXAMENTO LEVE, LIMPEZA, DESENGORDURAMENTO E DUAS DEMAOS DE ACABAMENTO COM ESMALTE SINTETICO BRILHANTE OU ACETINADO (ESTRUTURA DA COBERTURA DA QUADRA)</t>
  </si>
  <si>
    <t>PILARES: 6,00m de altura x 1,30m(0,25+0,25+0,40+0,40) de largura x 12 unidades  +  TESOURAS: ((13,00m de comprimento x 1,70m de altura) / 2)) x 2 águas x 2 lados x 12 unidades) + 28,00m de perímetro da tesoura x 0,25m de largura x 12 unidades + TERÇAS: 24,50m de comprimento x 0,5m(0,15+0,15+0,05+0,05+0,05+0,05) de comprimento x 8 unidades</t>
  </si>
  <si>
    <t>04 fios com 4,50metros de comprimento ( 3,00m da ligação entre a caixa de passagem e 1,50m de subida até o quadro) + 01 fio com 1,50 metros de comprimento (da haste de aterramento até o quadro)</t>
  </si>
  <si>
    <t>CIRCUITO 01: ((6,00m de subida a partir do quadro de distribuição + 18,00m de comprimento do primeiro ao último projetor do circuito + 2,40m(0,60m x 04 projetores) na descida do cabo aos projetores)) + CIRCUITO 02: ((6,00m de subida a partir do quadro de distribuição + 11,00m de comprimento na passagem pela estrutura da cobertura + 18,00m de comprimento do primeiro ao último projetor do circuito + 2,4m(0,60m x 04 projetores) na descida do cabo aos projetores))</t>
  </si>
  <si>
    <t>02 ELETRODUTOS COM (6,00m de comprimento) para subida dos cabos a partir do quadro de distribuição + (3,00m de comprimento) na ligação da caixa de passagem existente com a caixa de passagem da base de quadro de distribuição</t>
  </si>
  <si>
    <t>08 UNIDADES - PROJETORES DE ILUMINAÇÃO DA QUADRA</t>
  </si>
  <si>
    <t>3.5.11</t>
  </si>
  <si>
    <t>3.5.12</t>
  </si>
  <si>
    <t>3.5.13</t>
  </si>
  <si>
    <t>3.5.14</t>
  </si>
  <si>
    <t>3.5.15</t>
  </si>
  <si>
    <t>3.5.16</t>
  </si>
  <si>
    <t>3.5.17</t>
  </si>
  <si>
    <t>3.5.18</t>
  </si>
  <si>
    <t>3.5.19</t>
  </si>
  <si>
    <t>3.5.20</t>
  </si>
  <si>
    <t>3.5.21</t>
  </si>
  <si>
    <t>3.5.22</t>
  </si>
  <si>
    <t>3.5.23</t>
  </si>
  <si>
    <t>3.5.24</t>
  </si>
  <si>
    <t>3.5.25</t>
  </si>
  <si>
    <t>3.6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</si>
  <si>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</si>
  <si>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</si>
  <si>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</si>
  <si>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</si>
  <si>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</si>
  <si>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</si>
  <si>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</si>
  <si>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</si>
  <si>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</si>
  <si>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</si>
  <si>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</si>
  <si>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</si>
  <si>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</si>
  <si>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</si>
  <si>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</si>
  <si>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3.7</t>
  </si>
  <si>
    <t>3.7.1</t>
  </si>
  <si>
    <t>3.7.2</t>
  </si>
  <si>
    <t>3.7.3</t>
  </si>
  <si>
    <t xml:space="preserve">Mês/Ano referência : 04/2023 </t>
  </si>
  <si>
    <t>5% DO SOMATÓRIO DOS CUSTOS REFERENTES A MAO-DE-OBRA (ITENS: 1.10 E 1.11 = R$ 74976,00), CONFORME CRITÉRIOS INDICADOS PELO CATÁLOGO EMOP</t>
  </si>
  <si>
    <t>PRÉDIOS : (CINTA INFERIOR: 82,70 X 0,120M X 0,30M + SAPATAS: 0,80M X 0,80M X 0,40M X 18 UNIDADES + COLUNAS: 0,12M X 0,30M X 3,00M X 18 UNIDADES + CINTA SUPERIOR: 82,70 X 0,12M X 0,30M + PLATIBANDA COLUNAS: 0,12M X 0,30M X 1,50M X 14 UNIDADES + PLATIBANDA CINTA SUPERIOR: 0,12M X 0,30M X 62,00M) + COBERTURA EM LAJE DA PASSARELA DE ACESSO PRONCIPAL: (SAPATAS: 0,80M X 0,80M X 0,40M X 8 UNIDADES + COLUNAS: 0,25M X 0,25M X 3,00M X 8 UNIDADES + CINTA SUPERIOR: 35,65M X 0,12M X 0,30M)</t>
  </si>
  <si>
    <t>14.007.0195-0</t>
  </si>
  <si>
    <t>FERRAGENS PARA PAINEIS FIXOS DE VIDRO TEMPERADO DE 10MM(CONJUNTO COMPLETO),CONSTANDO DE FORNECIMENTO SEM COLOCACAO(ESTAINCLUIDA NO FORNECIMENTO E COLOCACAO DO VIDRO)</t>
  </si>
  <si>
    <t>11 MÓDULOS NO MURO DE ACESSO</t>
  </si>
  <si>
    <t>CINTA: 82,70M X 0,12M X 0,07M + SAPATAS: 0,80M X 0,80M X 0,07M X 18 UNIDADES + COBERTURA EM LAJE DA PASSARELA DE ACESSO PRONCIPAL: (SAPATAS: 0,80M X 0,80M X 0,07M X 8 UNIDADES)</t>
  </si>
  <si>
    <t>CINTA: 82,70 X 0,50M X 0,30M + SAPATAS: 1,30M X 1,30M X 0,50M X 18 UNIDADES + COBERTURA EM LAJE DA PASSARELA DE ACESSO PRONCIPAL: (SAPATAS: 1,30M X 1,30M X 0,50M X 8 UNIDADES)</t>
  </si>
  <si>
    <t xml:space="preserve">PRÉDIO ADMINISTRATIVO (RECEPÇÃO / DIREÇÃO / SECRETARIA): 37,19M X 4,35M + PLATIBANDA DO PRÉDIO ADMINISTRATIVO: 37,19M X 1,20M X 2 LADOS + SANITÁRIOS NOVOS (NO PÁTIO): 20,86M X 4,95M + PLATIBANDA DOS SANITÁRIOS NOVOS (NO PÁTIO): 20,86M X 1,80M X 2 LADOS </t>
  </si>
  <si>
    <t>43,93M DE COMPRIMENTO X 3,00M DE ALTURA + MURO INTERMEDIÁRIO: 2,15M X 1,50M + PÓRTICO: (14,14M2 - 6,90M2) + MURETA ACESSO PRINCIPAL: 21,10M X 0,90M</t>
  </si>
  <si>
    <t>SANITÁRIOS PRINCIPAIS: 25,10M DE COMPRIMENTO X 3,00M DE ALTURA + MURO INTERMEDIÁRIO: 2,15M X 1,50M X 2 LADOS</t>
  </si>
  <si>
    <t>MURO: 18,65M X 1,30M</t>
  </si>
  <si>
    <t xml:space="preserve">ACESSO PRINCIPAL DO PRÉDIO ADMINISTRATIVO: 1,70M X 2,10M </t>
  </si>
  <si>
    <t>02 MÓDULOS NO MURO DE ACESSO</t>
  </si>
  <si>
    <t>2.4.18</t>
  </si>
  <si>
    <t>2.4.19</t>
  </si>
  <si>
    <t>2.3.18</t>
  </si>
  <si>
    <t>13.345.0055-A</t>
  </si>
  <si>
    <t>CHAPIM OU ESPELHO DE MARMORE BRANCO CLASSICO,COM 2X17CM COM1 POLIMENTO,ASSENTE COMO EM 13.345.0020</t>
  </si>
  <si>
    <t>PÓRTICO MURO: 2,25M X 2 LADOS</t>
  </si>
  <si>
    <t>2.3.19</t>
  </si>
  <si>
    <t>13.045.0050-A</t>
  </si>
  <si>
    <t>PEITORIL DE MARMORE BRANCO CLASSICO,DE 2X28CM,COM 2 POLIMENTOS,ASSENTE COMO EM 13.045.0040</t>
  </si>
  <si>
    <t>0,30M X 5 UNIDADES (COLUNAS)</t>
  </si>
  <si>
    <t>05.055.0010-A</t>
  </si>
  <si>
    <t>LETRA DE ACO INOX N║22 COM 20CM DE ALTURA.FORNECIMENTO E COLOCACAO</t>
  </si>
  <si>
    <t>36 UNIDADES (NOME DA ESCOLA NO PÓRTICO DE ENTRADA)</t>
  </si>
  <si>
    <t>18.002.0070-A</t>
  </si>
  <si>
    <t>VASO SANITARIO DE LOUCA BRANCA,TIPO MEDIO LUXO,COM CAIXA ACOPLADA,INCLUSIVE RABICHO CROMADO DE 40CM,COM SAIDA DE 1/2",BOLSA DE LIGACAO E ACESSORIOS DE FIXACAO.FORNECIMENTO</t>
  </si>
  <si>
    <t>05.105.0140-A</t>
  </si>
  <si>
    <t>MAO-DE-OBRA DE CALCETEIRO,INCLUSIVE ENCARGOS SOCIAIS</t>
  </si>
  <si>
    <t>2 DIAS</t>
  </si>
  <si>
    <t>2.4.20</t>
  </si>
  <si>
    <t>2.4.21</t>
  </si>
  <si>
    <t>14.002.0097-A</t>
  </si>
  <si>
    <t>PORTAO DE FERRO, EM TUBOS DE FERRO GALVANIZADO COM COSTURA DE 2.1/2",ESPACADOS A CADA 13CM(ESPACO LIVRE),2 FOLHAS ,TERMINADOS NA PARTE SUPERIOR E INFERIOR POR BARRACHATA DE 3"X1/4",EXCLUSIVE FECHADURA.FORNECIMENTO E COLOCACAO</t>
  </si>
  <si>
    <t>3,00M X 2,30M (PORTÃO PRINCIPAL) + 2,10M X 1,50M (PORTÃO INTERMEDIÁRIO)</t>
  </si>
  <si>
    <t>14.007.0276-A</t>
  </si>
  <si>
    <t>FECHADURA DE SOBREPOR,COM CILINDRO,EM LATAO,ACABAMENTO CROMADO,PARA PORTAO.FORNECIMENTO</t>
  </si>
  <si>
    <t>PORTÃO PRINCIPAL + PORTÃO INTERMEDIÁRIO</t>
  </si>
  <si>
    <t>3,00M X 2,30M X 2 LADOS (PORTÃO PRINCIPAL) + 2,10M X 1,50M X 2 LADOS (PORTÃO INTERMEDIÁRIO)</t>
  </si>
  <si>
    <t xml:space="preserve">Tela de arame galvanizado no 12, revestido de PVC, com malha losangular de 5cm, fixada com arame galvanizado no 12, a armacao tubular de ferro galvanizado (exclusive esta). Fornecimento e colocacao.(desonerado) </t>
  </si>
  <si>
    <t>PJ 14.10.0500 (/)</t>
  </si>
  <si>
    <t>3.3.15</t>
  </si>
  <si>
    <t>PÁTIO (8,00M X 5,50M)</t>
  </si>
  <si>
    <t>09.001.0100-A</t>
  </si>
  <si>
    <t>GRAMA SINTETICA EUROPEIA,EM ROLOS,COM FIOS DE 28MM DE COMPRIMENTO,NA COR VERDE,INCLUSIVE MAO DE OBRA ESPECIALIZADA PARAEXECUCAO DE SERVICOS,FORNECIMENTO E INSTALACAO DE FAIXAS DEGRAMA SINTETICA BRANCA PARA AS DEMARCACOES DO CAMPO,REGULARIZACAO COM AREIA ADEQUADA E TRANSPORTE DO MATERIAL ATE O LOCAL DOS SERVICOS.FORNECIMENTO E COLOCACAO</t>
  </si>
  <si>
    <t>COBERTURA</t>
  </si>
  <si>
    <t>SECRETARIA/DIRETORIA (13,20M X 6,55M) + BANHEIROS DO PÁTIO (7,15M X 4,30M)</t>
  </si>
  <si>
    <t>16.004.0018-A</t>
  </si>
  <si>
    <t>COBERTURA EM TELHAS ONDULADAS DE CIMENTO, SEM AMIANTO, REFORCADO COM FIOS SINTETICOS (CRFS), COM ESPESSURA DE 8MM, EXCLUSIVE MADEIRAMENTO. FORNECIMENTO E COLOCACAO</t>
  </si>
  <si>
    <t>16.001.0061-A</t>
  </si>
  <si>
    <t>MADEIRAMENTO PARA COBERTURA EM TELHAS ONDULADAS,CONSTITUIDODE PECAS DE 3"X3" E 3"X4.1/2",EM MADEIRA APARELHADA,SEM TESOURA OU PONTALETE,MEDIDO PELA AREA REAL DO MADEIRAMENTO.FORNECIMENTO E COLOCACAO</t>
  </si>
  <si>
    <t>16.005.0050-A</t>
  </si>
  <si>
    <t>RUFO EM ALUMINIO,COM ACABAMENTO EM VERNIZ NAS 2 FACES,TRAPEZOIDAL OU ONDULADA,MEDINDO 1265X600X0,8MM.FORNECIMENTO E COLOCACAO</t>
  </si>
  <si>
    <t>SECRETARIA/DIRETORIA (13,20M + 6,55M + 6,55M) + BANHEIROS DO PÁTIO (7,15M + 4,30M + 4,30M)</t>
  </si>
  <si>
    <t>2.8</t>
  </si>
  <si>
    <t>2.8.1</t>
  </si>
  <si>
    <t>2.8.2</t>
  </si>
  <si>
    <t>2.8.3</t>
  </si>
  <si>
    <t>2.8.4</t>
  </si>
  <si>
    <t>2.8.5</t>
  </si>
  <si>
    <t>2.8.6</t>
  </si>
  <si>
    <t>ACRÉSCIMO BANHEIROS  (5,10M X 3,20M)</t>
  </si>
  <si>
    <t>ACRÉSCIMO BANHEIROS  (5,10M + 3,20M + 3,20M)</t>
  </si>
  <si>
    <t>3.1.9</t>
  </si>
  <si>
    <t>(75,80M2), RETIRADO DO CAD, REFERENTE A COBERTURA QUE LIGA O PÓRTICO DE ENTRADA AOS PRÉDIOS, CONFORME PROJETO</t>
  </si>
  <si>
    <t>16.036.0010-A</t>
  </si>
  <si>
    <t>IMPERMEABILIZACAO/REVESTIMENTO DE LAJES DE COBERTURA EM CONCRETO,METAL OU MADEIRA,COM ELASTOMERO A BASE DE POLIUREIA,ISENTO DE SOLVENTES,MOLDADO NO LOCAL,CURA LENTA,A FRIO,APLICADOCOM EQUIPAMENTO TIPO AIRLESS,ROLO OU PINCEL,COM ATE 1,00MMDE ESPESSURA,SEM PROTECAO MECANICA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</si>
  <si>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</si>
  <si>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</si>
  <si>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</si>
  <si>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</si>
  <si>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</si>
  <si>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</si>
  <si>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</si>
  <si>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</si>
  <si>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3.9.8</t>
  </si>
  <si>
    <t>3.9.9</t>
  </si>
  <si>
    <t>3.9.10</t>
  </si>
  <si>
    <t>3.9.11</t>
  </si>
  <si>
    <t>3.9.12</t>
  </si>
  <si>
    <t>3.9.13</t>
  </si>
  <si>
    <t>3.9.14</t>
  </si>
  <si>
    <t>3.9.15</t>
  </si>
  <si>
    <t>3.9.16</t>
  </si>
  <si>
    <t>3.9.17</t>
  </si>
  <si>
    <t>3.9.18</t>
  </si>
  <si>
    <t>3.9.19</t>
  </si>
  <si>
    <t>3.9.20</t>
  </si>
  <si>
    <t>3.9.21</t>
  </si>
  <si>
    <t>3.9.22</t>
  </si>
  <si>
    <t>3.9.23</t>
  </si>
  <si>
    <t>3.9.24</t>
  </si>
  <si>
    <t>3.9.25</t>
  </si>
  <si>
    <t>3.9.26</t>
  </si>
  <si>
    <t>3.9.27</t>
  </si>
  <si>
    <t>3.9.28</t>
  </si>
  <si>
    <t>3.9.29</t>
  </si>
  <si>
    <t>3.9.30</t>
  </si>
  <si>
    <t>3.9.31</t>
  </si>
  <si>
    <t>3.9.32</t>
  </si>
  <si>
    <t>3.4.22</t>
  </si>
  <si>
    <t>14.006.0010-A</t>
  </si>
  <si>
    <t>PORTA DE MADEIRA DE LEI EM COMPENSADO DE 80X210X3,5CM FOLHEADA NAS 2 FACES,ADUELA DE 13X3CM E ALIZARES DE 5X2CM,EXCLUSIVE FERRAGENS.FORNECIMENTO E COLOCACAO</t>
  </si>
  <si>
    <t xml:space="preserve">02 UNIDADES (1 DIRETORIA + 1 SECRETARIA ) </t>
  </si>
  <si>
    <t xml:space="preserve">04 UNIDADES (1 BANH. SECRETARIA + 1 BANH. DIRETORIA + 1 BANHEIRO ESPERA + 1 DEPÓSITO) </t>
  </si>
  <si>
    <t xml:space="preserve">0,80M X 2,10M X 2,5 X 6 UNIDADES (1 DIRETORIA + 1 SECRETARIA + 1 BANH. DIRETORIA + 1 BANH. SECRETARIA + 1 BANH. ESPERA +  1 DEPÓSITO) + 0,90M X 2,10M X 2,5 X 02 UNIDADES (1 BANHEIRO FEM.  + 1 BANHEIRO MASC.) + 0,60M X 1,50M X 2,5 X 6 UNIDADES (3 BANHEIRO FEM. DO PÁTIO + 3 BANHEIRO MASC. DO PÁTIO) + 0,90M X 1,80M X 2,5 X 04 UNIDADES (2 BANHEIRO FEM. DO PÁTIO + 2 BANHEIRO MASC. DO PÁTIO) </t>
  </si>
  <si>
    <t xml:space="preserve">PAREDES (BANHEIRO FEM.: 16,20M DE COMPRIMENTO X 1,10M DE ALTURA + BANHEIRO MASC.: 16,20M DE COMPRIMENTO X 1,10M DE ALTURA + DEPÓSITO: 9,80M X 3,00M + DIRETORIA: 24,60M DE COMPRIMENTO X 1,70M DE ALTURA + SECRETARIA: 42,16M X 1,70M ) + TETO (BANH. FEM.: 16,10M2 + BANH. MASC.: 16,10M2 + DEPÓSITO: 5,67M2 + BANH. DIRETORIA: 2,50M2 + BANH. SECRETARIA: 2,50M2 + BANH. ESPERA: 2,50M2 + DIRETORIA: 25,45M2 + SECRETARIA: 48,58M2 + CCOBERTURA QUE INTERLIGA OS PRÉDIOS:75,80M2) + PRÉDIO ADMINISTRATIVO (RECEPÇÃO / DIREÇÃO / SECRETARIA): 37,19M X 4,35M + PLATIBANDA DO PRÉDIO ADMINISTRATIVO: 37,19M X 1,20M X 2 LADOS + SANITÁRIOS NOVOS (NO PÁTIO): 20,86M X 4,95M + PLATIBANDA DOS SANITÁRIOS NOVOS (NO PÁTIO): 20,86M X 1,80M X 2 LADOS </t>
  </si>
  <si>
    <t>3.8</t>
  </si>
  <si>
    <t>3.8.1</t>
  </si>
  <si>
    <t>3.8.2</t>
  </si>
  <si>
    <t>3.8.3</t>
  </si>
  <si>
    <t>05.105.0116-A</t>
  </si>
  <si>
    <t>MAO-DE-OBRA DE SOLDADOR,INCLUSIVE ENCARGOS SOCIAIS</t>
  </si>
  <si>
    <t>3.9.33</t>
  </si>
  <si>
    <t>08.020.0020-A</t>
  </si>
  <si>
    <t>PAVIMENTACAO LAJOTAS CONCRETO,ALTAMENTE VIBRADO,INTERTRAVADO,C/ARTICULACAO VERTICAL,PRE-FABRICADOS,COLORIDO,ESP.6CM,RESISTENCIA A COMPRESSAO 35MPA,ASSENTES SOBRE COLCHAO PO-DE-PEDRA,AREIA OU MATERIAL EQUIVALENTE,C/JUNTAS TOMADAS C/ARGAMASSACIMENTO E AREIA,TRACO 1:4 E/OU PEDRISCO E ASFALTO,EXCL.PREPARO DO TERRENO,C/FORN.DE TODOS OS MAT.,BEM COMO A COLOCACAO</t>
  </si>
  <si>
    <t>2.3.20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</si>
</sst>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,000.00"/>
    <numFmt numFmtId="173" formatCode="0.0000"/>
    <numFmt numFmtId="174" formatCode="000.00"/>
    <numFmt numFmtId="175" formatCode="000.0000"/>
    <numFmt numFmtId="176" formatCode="0,000.00"/>
    <numFmt numFmtId="177" formatCode="0,000.0000"/>
    <numFmt numFmtId="178" formatCode="00.00"/>
    <numFmt numFmtId="179" formatCode="00.0000"/>
    <numFmt numFmtId="180" formatCode="&quot;R$&quot;#,##0.00"/>
    <numFmt numFmtId="181" formatCode="0.000"/>
    <numFmt numFmtId="182" formatCode="0,000.000"/>
    <numFmt numFmtId="183" formatCode="00.000"/>
    <numFmt numFmtId="184" formatCode="0.0"/>
    <numFmt numFmtId="185" formatCode="&quot;R$&quot;#,##0.00_);[Red]\(&quot;R$&quot;#,##0.00\)"/>
    <numFmt numFmtId="186" formatCode="&quot;R$ &quot;#,##0.00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  <numFmt numFmtId="191" formatCode="&quot;&quot;0&quot; dias&quot;"/>
    <numFmt numFmtId="192" formatCode="&quot;R$ &quot;#,##0.0000"/>
    <numFmt numFmtId="193" formatCode="&quot;R$&quot;\ #,##0.00"/>
    <numFmt numFmtId="194" formatCode="hyy"/>
    <numFmt numFmtId="195" formatCode="[$-416]dddd\,\ d&quot; de &quot;mmmm&quot; de &quot;yyyy"/>
    <numFmt numFmtId="196" formatCode="00000"/>
    <numFmt numFmtId="197" formatCode="000000000\-00"/>
    <numFmt numFmtId="198" formatCode="_(* #,##0.00_);_(* \(#,##0.00\);_(* \-??_);_(@_)"/>
    <numFmt numFmtId="199" formatCode="&quot;BENEFICIO E DESPESAS INDIRETAS -B.D.I. (&quot;0.00&quot;%):&quot;"/>
    <numFmt numFmtId="200" formatCode="&quot;R$&quot;\ #,##0.00;[Red]&quot;R$&quot;\ #,##0.00"/>
  </numFmts>
  <fonts count="73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i/>
      <u val="single"/>
      <strike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  <font>
      <b/>
      <u val="single"/>
      <sz val="20"/>
      <name val="Arial Narrow"/>
      <family val="2"/>
    </font>
    <font>
      <sz val="10"/>
      <color indexed="63"/>
      <name val="Arial"/>
      <family val="2"/>
    </font>
    <font>
      <b/>
      <sz val="7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b/>
      <sz val="20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1"/>
      <name val="Arial"/>
      <family val="2"/>
    </font>
    <font>
      <u val="single"/>
      <sz val="10"/>
      <color indexed="18"/>
      <name val="Arial"/>
      <family val="2"/>
    </font>
    <font>
      <sz val="11"/>
      <color indexed="1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Calibri"/>
      <family val="2"/>
    </font>
    <font>
      <sz val="8"/>
      <color indexed="10"/>
      <name val="Arial Narrow"/>
      <family val="2"/>
    </font>
    <font>
      <sz val="20"/>
      <color indexed="9"/>
      <name val="Arial Narrow"/>
      <family val="2"/>
    </font>
    <font>
      <b/>
      <sz val="14"/>
      <color indexed="10"/>
      <name val="Arial Narrow"/>
      <family val="2"/>
    </font>
    <font>
      <b/>
      <sz val="26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</font>
    <font>
      <sz val="8"/>
      <color rgb="FFFF0000"/>
      <name val="Arial Narrow"/>
      <family val="2"/>
    </font>
    <font>
      <sz val="20"/>
      <color theme="0"/>
      <name val="Arial Narrow"/>
      <family val="2"/>
    </font>
    <font>
      <b/>
      <sz val="14"/>
      <color rgb="FFFF0000"/>
      <name val="Arial Narrow"/>
      <family val="2"/>
    </font>
    <font>
      <b/>
      <sz val="26"/>
      <color rgb="FFFF0000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Gray">
        <fgColor theme="0"/>
        <bgColor theme="0"/>
      </patternFill>
    </fill>
    <fill>
      <patternFill patternType="solid">
        <fgColor theme="3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theme="0" tint="-0.149959996342659"/>
      </top>
      <bottom style="hair">
        <color theme="0" tint="-0.149959996342659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theme="0" tint="-0.14993000030517578"/>
      </top>
      <bottom style="hair">
        <color theme="0" tint="-0.14993000030517578"/>
      </bottom>
    </border>
    <border>
      <left>
        <color indexed="63"/>
      </left>
      <right>
        <color indexed="63"/>
      </right>
      <top style="hair">
        <color theme="0" tint="-0.14993000030517578"/>
      </top>
      <bottom style="hair">
        <color theme="0" tint="-0.14990000426769257"/>
      </bottom>
    </border>
    <border>
      <left>
        <color indexed="63"/>
      </left>
      <right>
        <color indexed="63"/>
      </right>
      <top style="hair">
        <color theme="0" tint="-0.14990000426769257"/>
      </top>
      <bottom style="hair">
        <color theme="0" tint="-0.14990000426769257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0000426769257"/>
      </bottom>
    </border>
    <border>
      <left>
        <color indexed="63"/>
      </left>
      <right>
        <color indexed="63"/>
      </right>
      <top style="hair">
        <color theme="0" tint="-0.14990000426769257"/>
      </top>
      <bottom style="hair">
        <color theme="0" tint="-0.14986999332904816"/>
      </bottom>
    </border>
    <border>
      <left>
        <color indexed="63"/>
      </left>
      <right>
        <color indexed="63"/>
      </right>
      <top style="hair">
        <color theme="0" tint="-0.14986999332904816"/>
      </top>
      <bottom style="hair">
        <color theme="0" tint="-0.14986999332904816"/>
      </bottom>
    </border>
    <border>
      <left>
        <color indexed="63"/>
      </left>
      <right>
        <color indexed="63"/>
      </right>
      <top style="hair">
        <color theme="0" tint="-0.14986999332904816"/>
      </top>
      <bottom style="hair">
        <color theme="0" tint="-0.14983999729156494"/>
      </bottom>
    </border>
    <border>
      <left>
        <color indexed="63"/>
      </left>
      <right>
        <color indexed="63"/>
      </right>
      <top style="hair">
        <color theme="0" tint="-0.14983999729156494"/>
      </top>
      <bottom style="hair">
        <color theme="0" tint="-0.14983999729156494"/>
      </bottom>
    </border>
    <border>
      <left>
        <color indexed="63"/>
      </left>
      <right>
        <color indexed="63"/>
      </right>
      <top style="hair">
        <color theme="0" tint="-0.14983999729156494"/>
      </top>
      <bottom style="hair">
        <color theme="0" tint="-0.14981000125408173"/>
      </bottom>
    </border>
    <border>
      <left>
        <color indexed="63"/>
      </left>
      <right>
        <color indexed="63"/>
      </right>
      <top style="hair">
        <color theme="0" tint="-0.14981000125408173"/>
      </top>
      <bottom style="hair">
        <color theme="0" tint="-0.14981000125408173"/>
      </bottom>
    </border>
    <border>
      <left>
        <color indexed="63"/>
      </left>
      <right>
        <color indexed="63"/>
      </right>
      <top style="hair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14990000426769257"/>
      </top>
      <bottom style="hair">
        <color theme="0" tint="-0.1499300003051757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93000030517578"/>
      </bottom>
    </border>
    <border>
      <left>
        <color indexed="63"/>
      </left>
      <right>
        <color indexed="63"/>
      </right>
      <top style="hair">
        <color theme="0" tint="-0.149869993329048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1498399972915649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6" fillId="31" borderId="0" applyNumberFormat="0" applyBorder="0" applyAlignment="0" applyProtection="0"/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0" fontId="5" fillId="0" borderId="0" applyNumberFormat="0" applyFill="0" applyBorder="0">
      <alignment horizontal="left" vertical="top"/>
      <protection locked="0"/>
    </xf>
    <xf numFmtId="0" fontId="57" fillId="21" borderId="5" applyNumberFormat="0" applyAlignment="0" applyProtection="0"/>
    <xf numFmtId="0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166">
    <xf numFmtId="0" fontId="0" fillId="0" borderId="0" xfId="0" applyAlignment="1" applyProtection="1">
      <alignment vertical="top"/>
      <protection locked="0"/>
    </xf>
    <xf numFmtId="0" fontId="9" fillId="33" borderId="0" xfId="48" applyFont="1" applyFill="1" applyAlignment="1">
      <alignment horizontal="center" vertical="center"/>
    </xf>
    <xf numFmtId="49" fontId="8" fillId="33" borderId="0" xfId="48" applyNumberFormat="1" applyFont="1" applyFill="1" applyAlignment="1">
      <alignment horizontal="center" vertical="center"/>
    </xf>
    <xf numFmtId="0" fontId="8" fillId="33" borderId="0" xfId="0" applyFont="1" applyFill="1" applyAlignment="1" applyProtection="1">
      <alignment horizontal="center" vertical="top"/>
      <protection locked="0"/>
    </xf>
    <xf numFmtId="0" fontId="8" fillId="34" borderId="0" xfId="0" applyFont="1" applyFill="1" applyAlignment="1" applyProtection="1">
      <alignment horizontal="center" vertical="top"/>
      <protection locked="0"/>
    </xf>
    <xf numFmtId="0" fontId="8" fillId="33" borderId="0" xfId="48" applyFont="1" applyFill="1" applyAlignment="1">
      <alignment vertical="center"/>
    </xf>
    <xf numFmtId="0" fontId="8" fillId="34" borderId="0" xfId="48" applyFont="1" applyFill="1" applyAlignment="1">
      <alignment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left" vertical="center"/>
      <protection locked="0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 applyProtection="1">
      <alignment horizontal="left" vertical="center"/>
      <protection locked="0"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4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8" fillId="34" borderId="1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>
      <alignment/>
    </xf>
    <xf numFmtId="0" fontId="8" fillId="34" borderId="12" xfId="0" applyFont="1" applyFill="1" applyBorder="1" applyAlignment="1" applyProtection="1">
      <alignment horizontal="left" vertical="center" wrapText="1"/>
      <protection locked="0"/>
    </xf>
    <xf numFmtId="4" fontId="8" fillId="34" borderId="12" xfId="0" applyNumberFormat="1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48" applyFont="1" applyFill="1" applyBorder="1" applyAlignment="1">
      <alignment vertical="center"/>
    </xf>
    <xf numFmtId="0" fontId="8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top"/>
      <protection locked="0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4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left" vertical="center" wrapText="1"/>
      <protection locked="0"/>
    </xf>
    <xf numFmtId="0" fontId="8" fillId="0" borderId="0" xfId="48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 applyProtection="1">
      <alignment vertical="top"/>
      <protection locked="0"/>
    </xf>
    <xf numFmtId="0" fontId="8" fillId="36" borderId="0" xfId="0" applyFont="1" applyFill="1" applyAlignment="1" applyProtection="1">
      <alignment vertical="top"/>
      <protection locked="0"/>
    </xf>
    <xf numFmtId="0" fontId="8" fillId="36" borderId="0" xfId="48" applyFont="1" applyFill="1" applyAlignment="1">
      <alignment vertical="center"/>
    </xf>
    <xf numFmtId="0" fontId="8" fillId="36" borderId="0" xfId="0" applyFont="1" applyFill="1" applyAlignment="1">
      <alignment/>
    </xf>
    <xf numFmtId="0" fontId="9" fillId="36" borderId="0" xfId="0" applyFont="1" applyFill="1" applyAlignment="1" applyProtection="1">
      <alignment vertical="top"/>
      <protection locked="0"/>
    </xf>
    <xf numFmtId="0" fontId="8" fillId="34" borderId="0" xfId="0" applyFont="1" applyFill="1" applyBorder="1" applyAlignment="1" applyProtection="1">
      <alignment horizontal="left" vertical="center" wrapText="1"/>
      <protection locked="0"/>
    </xf>
    <xf numFmtId="4" fontId="8" fillId="34" borderId="0" xfId="0" applyNumberFormat="1" applyFont="1" applyFill="1" applyBorder="1" applyAlignment="1" applyProtection="1">
      <alignment horizontal="center" vertical="center"/>
      <protection locked="0"/>
    </xf>
    <xf numFmtId="186" fontId="65" fillId="36" borderId="0" xfId="51" applyNumberFormat="1" applyFont="1" applyFill="1" applyBorder="1" applyAlignment="1" applyProtection="1">
      <alignment horizontal="center" vertical="center"/>
      <protection locked="0"/>
    </xf>
    <xf numFmtId="0" fontId="65" fillId="36" borderId="0" xfId="51" applyFont="1" applyFill="1" applyBorder="1" applyAlignment="1" applyProtection="1">
      <alignment vertical="center"/>
      <protection locked="0"/>
    </xf>
    <xf numFmtId="4" fontId="38" fillId="36" borderId="0" xfId="51" applyNumberFormat="1" applyFont="1" applyFill="1" applyBorder="1" applyAlignment="1" applyProtection="1">
      <alignment horizontal="center" vertical="center"/>
      <protection locked="0"/>
    </xf>
    <xf numFmtId="0" fontId="66" fillId="36" borderId="0" xfId="51" applyFont="1" applyFill="1" applyBorder="1" applyAlignment="1" applyProtection="1">
      <alignment vertical="center"/>
      <protection locked="0"/>
    </xf>
    <xf numFmtId="0" fontId="66" fillId="36" borderId="0" xfId="51" applyFont="1" applyFill="1" applyBorder="1" applyAlignment="1" applyProtection="1">
      <alignment horizontal="center" vertical="center"/>
      <protection locked="0"/>
    </xf>
    <xf numFmtId="0" fontId="66" fillId="36" borderId="0" xfId="50" applyFont="1" applyFill="1" applyBorder="1" applyAlignment="1">
      <alignment horizontal="right" vertical="center"/>
      <protection/>
    </xf>
    <xf numFmtId="186" fontId="66" fillId="36" borderId="0" xfId="50" applyNumberFormat="1" applyFont="1" applyFill="1" applyBorder="1" applyAlignment="1">
      <alignment horizontal="right" vertical="center"/>
      <protection/>
    </xf>
    <xf numFmtId="186" fontId="66" fillId="36" borderId="0" xfId="51" applyNumberFormat="1" applyFont="1" applyFill="1" applyBorder="1" applyAlignment="1" applyProtection="1">
      <alignment horizontal="center" vertical="center"/>
      <protection locked="0"/>
    </xf>
    <xf numFmtId="0" fontId="66" fillId="36" borderId="15" xfId="51" applyFont="1" applyFill="1" applyBorder="1" applyAlignment="1" applyProtection="1">
      <alignment vertical="center"/>
      <protection locked="0"/>
    </xf>
    <xf numFmtId="0" fontId="66" fillId="36" borderId="15" xfId="51" applyFont="1" applyFill="1" applyBorder="1" applyAlignment="1" applyProtection="1">
      <alignment horizontal="center" vertical="center"/>
      <protection locked="0"/>
    </xf>
    <xf numFmtId="186" fontId="66" fillId="36" borderId="15" xfId="51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right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4" fontId="8" fillId="34" borderId="16" xfId="0" applyNumberFormat="1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6" xfId="0" applyFont="1" applyFill="1" applyBorder="1" applyAlignment="1" applyProtection="1">
      <alignment horizontal="left" vertical="center" wrapText="1"/>
      <protection locked="0"/>
    </xf>
    <xf numFmtId="4" fontId="8" fillId="33" borderId="0" xfId="0" applyNumberFormat="1" applyFont="1" applyFill="1" applyAlignment="1">
      <alignment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7" xfId="0" applyFont="1" applyFill="1" applyBorder="1" applyAlignment="1" applyProtection="1">
      <alignment horizontal="left" vertical="center" wrapText="1"/>
      <protection locked="0"/>
    </xf>
    <xf numFmtId="4" fontId="8" fillId="34" borderId="17" xfId="0" applyNumberFormat="1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18" xfId="0" applyFont="1" applyFill="1" applyBorder="1" applyAlignment="1" applyProtection="1">
      <alignment horizontal="left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left" vertical="center" wrapText="1"/>
      <protection locked="0"/>
    </xf>
    <xf numFmtId="0" fontId="67" fillId="36" borderId="0" xfId="51" applyFont="1" applyFill="1" applyBorder="1" applyAlignment="1" applyProtection="1">
      <alignment vertical="center"/>
      <protection locked="0"/>
    </xf>
    <xf numFmtId="0" fontId="67" fillId="36" borderId="0" xfId="51" applyFont="1" applyFill="1" applyBorder="1" applyAlignment="1" applyProtection="1">
      <alignment horizontal="center" vertical="center"/>
      <protection locked="0"/>
    </xf>
    <xf numFmtId="0" fontId="67" fillId="36" borderId="0" xfId="50" applyFont="1" applyFill="1" applyBorder="1" applyAlignment="1">
      <alignment horizontal="right" vertical="center"/>
      <protection/>
    </xf>
    <xf numFmtId="186" fontId="67" fillId="36" borderId="0" xfId="50" applyNumberFormat="1" applyFont="1" applyFill="1" applyBorder="1" applyAlignment="1">
      <alignment horizontal="right" vertical="center"/>
      <protection/>
    </xf>
    <xf numFmtId="186" fontId="67" fillId="36" borderId="0" xfId="51" applyNumberFormat="1" applyFont="1" applyFill="1" applyBorder="1" applyAlignment="1" applyProtection="1">
      <alignment horizontal="center" vertical="center"/>
      <protection locked="0"/>
    </xf>
    <xf numFmtId="186" fontId="68" fillId="36" borderId="0" xfId="51" applyNumberFormat="1" applyFont="1" applyFill="1" applyBorder="1" applyAlignment="1" applyProtection="1">
      <alignment horizontal="center" vertical="center"/>
      <protection locked="0"/>
    </xf>
    <xf numFmtId="0" fontId="14" fillId="36" borderId="0" xfId="0" applyFont="1" applyFill="1" applyBorder="1" applyAlignment="1" applyProtection="1">
      <alignment horizontal="center" vertical="center" wrapText="1"/>
      <protection locked="0"/>
    </xf>
    <xf numFmtId="0" fontId="15" fillId="36" borderId="0" xfId="0" applyFont="1" applyFill="1" applyBorder="1" applyAlignment="1" applyProtection="1">
      <alignment horizontal="center" vertical="center" wrapText="1"/>
      <protection locked="0"/>
    </xf>
    <xf numFmtId="0" fontId="9" fillId="37" borderId="14" xfId="0" applyFont="1" applyFill="1" applyBorder="1" applyAlignment="1" applyProtection="1">
      <alignment horizontal="center" vertical="center"/>
      <protection locked="0"/>
    </xf>
    <xf numFmtId="0" fontId="9" fillId="37" borderId="13" xfId="0" applyFont="1" applyFill="1" applyBorder="1" applyAlignment="1" applyProtection="1">
      <alignment horizontal="center" vertical="center"/>
      <protection locked="0"/>
    </xf>
    <xf numFmtId="0" fontId="9" fillId="37" borderId="13" xfId="0" applyFont="1" applyFill="1" applyBorder="1" applyAlignment="1" applyProtection="1">
      <alignment horizontal="left" vertical="center"/>
      <protection locked="0"/>
    </xf>
    <xf numFmtId="4" fontId="9" fillId="37" borderId="13" xfId="0" applyNumberFormat="1" applyFont="1" applyFill="1" applyBorder="1" applyAlignment="1" applyProtection="1">
      <alignment horizontal="center" vertical="center"/>
      <protection locked="0"/>
    </xf>
    <xf numFmtId="0" fontId="9" fillId="38" borderId="14" xfId="0" applyFont="1" applyFill="1" applyBorder="1" applyAlignment="1" applyProtection="1">
      <alignment horizontal="center" vertical="center"/>
      <protection locked="0"/>
    </xf>
    <xf numFmtId="0" fontId="9" fillId="38" borderId="13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 applyProtection="1">
      <alignment vertical="center" wrapText="1"/>
      <protection locked="0"/>
    </xf>
    <xf numFmtId="4" fontId="8" fillId="34" borderId="18" xfId="0" applyNumberFormat="1" applyFont="1" applyFill="1" applyBorder="1" applyAlignment="1" applyProtection="1">
      <alignment horizontal="center" vertical="center"/>
      <protection locked="0"/>
    </xf>
    <xf numFmtId="0" fontId="9" fillId="39" borderId="14" xfId="0" applyFont="1" applyFill="1" applyBorder="1" applyAlignment="1" applyProtection="1">
      <alignment horizontal="center" vertical="center"/>
      <protection locked="0"/>
    </xf>
    <xf numFmtId="0" fontId="9" fillId="39" borderId="13" xfId="0" applyFont="1" applyFill="1" applyBorder="1" applyAlignment="1" applyProtection="1">
      <alignment horizontal="center" vertical="center"/>
      <protection locked="0"/>
    </xf>
    <xf numFmtId="0" fontId="9" fillId="39" borderId="13" xfId="0" applyFont="1" applyFill="1" applyBorder="1" applyAlignment="1" applyProtection="1">
      <alignment horizontal="left" vertical="center"/>
      <protection locked="0"/>
    </xf>
    <xf numFmtId="4" fontId="9" fillId="39" borderId="13" xfId="0" applyNumberFormat="1" applyFont="1" applyFill="1" applyBorder="1" applyAlignment="1" applyProtection="1">
      <alignment horizontal="center" vertical="center"/>
      <protection locked="0"/>
    </xf>
    <xf numFmtId="4" fontId="8" fillId="36" borderId="0" xfId="0" applyNumberFormat="1" applyFont="1" applyFill="1" applyBorder="1" applyAlignment="1" applyProtection="1">
      <alignment vertical="center" wrapText="1"/>
      <protection locked="0"/>
    </xf>
    <xf numFmtId="0" fontId="9" fillId="36" borderId="0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left" vertical="center" wrapText="1"/>
      <protection locked="0"/>
    </xf>
    <xf numFmtId="4" fontId="8" fillId="34" borderId="20" xfId="0" applyNumberFormat="1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 applyProtection="1">
      <alignment horizontal="left" vertical="center" wrapText="1"/>
      <protection locked="0"/>
    </xf>
    <xf numFmtId="4" fontId="8" fillId="34" borderId="21" xfId="0" applyNumberFormat="1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 wrapText="1"/>
      <protection locked="0"/>
    </xf>
    <xf numFmtId="0" fontId="8" fillId="34" borderId="22" xfId="0" applyFont="1" applyFill="1" applyBorder="1" applyAlignment="1" applyProtection="1">
      <alignment horizontal="left" vertical="center" wrapText="1"/>
      <protection locked="0"/>
    </xf>
    <xf numFmtId="4" fontId="8" fillId="34" borderId="22" xfId="0" applyNumberFormat="1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 wrapText="1"/>
      <protection locked="0"/>
    </xf>
    <xf numFmtId="0" fontId="8" fillId="34" borderId="23" xfId="0" applyFont="1" applyFill="1" applyBorder="1" applyAlignment="1" applyProtection="1">
      <alignment horizontal="left" vertical="center" wrapText="1"/>
      <protection locked="0"/>
    </xf>
    <xf numFmtId="4" fontId="8" fillId="34" borderId="23" xfId="0" applyNumberFormat="1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/>
      <protection locked="0"/>
    </xf>
    <xf numFmtId="0" fontId="8" fillId="34" borderId="24" xfId="0" applyFont="1" applyFill="1" applyBorder="1" applyAlignment="1" applyProtection="1">
      <alignment horizontal="center" vertical="center" wrapText="1"/>
      <protection locked="0"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4" fontId="8" fillId="34" borderId="24" xfId="0" applyNumberFormat="1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/>
      <protection locked="0"/>
    </xf>
    <xf numFmtId="0" fontId="8" fillId="34" borderId="25" xfId="0" applyFont="1" applyFill="1" applyBorder="1" applyAlignment="1" applyProtection="1">
      <alignment horizontal="center" vertical="center" wrapText="1"/>
      <protection locked="0"/>
    </xf>
    <xf numFmtId="0" fontId="8" fillId="34" borderId="25" xfId="0" applyFont="1" applyFill="1" applyBorder="1" applyAlignment="1" applyProtection="1">
      <alignment horizontal="left" vertical="center" wrapText="1"/>
      <protection locked="0"/>
    </xf>
    <xf numFmtId="4" fontId="8" fillId="34" borderId="25" xfId="0" applyNumberFormat="1" applyFont="1" applyFill="1" applyBorder="1" applyAlignment="1" applyProtection="1">
      <alignment horizontal="center" vertical="center"/>
      <protection locked="0"/>
    </xf>
    <xf numFmtId="3" fontId="8" fillId="34" borderId="23" xfId="0" applyNumberFormat="1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/>
      <protection locked="0"/>
    </xf>
    <xf numFmtId="0" fontId="8" fillId="34" borderId="26" xfId="0" applyFont="1" applyFill="1" applyBorder="1" applyAlignment="1" applyProtection="1">
      <alignment horizontal="center" vertical="center" wrapText="1"/>
      <protection locked="0"/>
    </xf>
    <xf numFmtId="0" fontId="8" fillId="34" borderId="26" xfId="0" applyFont="1" applyFill="1" applyBorder="1" applyAlignment="1" applyProtection="1">
      <alignment horizontal="left" vertical="center" wrapText="1"/>
      <protection locked="0"/>
    </xf>
    <xf numFmtId="4" fontId="8" fillId="34" borderId="26" xfId="0" applyNumberFormat="1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8" fillId="34" borderId="28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4" fontId="8" fillId="36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36" borderId="20" xfId="51" applyNumberFormat="1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8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0" xfId="0" applyFont="1" applyFill="1" applyBorder="1" applyAlignment="1" applyProtection="1">
      <alignment horizontal="left" vertical="center" wrapText="1"/>
      <protection locked="0"/>
    </xf>
    <xf numFmtId="0" fontId="8" fillId="36" borderId="0" xfId="0" applyFont="1" applyFill="1" applyBorder="1" applyAlignment="1" applyProtection="1">
      <alignment horizontal="center" vertical="center" wrapText="1"/>
      <protection locked="0"/>
    </xf>
    <xf numFmtId="4" fontId="9" fillId="35" borderId="13" xfId="0" applyNumberFormat="1" applyFont="1" applyFill="1" applyBorder="1" applyAlignment="1" applyProtection="1">
      <alignment horizontal="center" vertical="center"/>
      <protection locked="0"/>
    </xf>
    <xf numFmtId="4" fontId="9" fillId="38" borderId="13" xfId="0" applyNumberFormat="1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 applyProtection="1">
      <alignment vertical="top"/>
      <protection locked="0"/>
    </xf>
    <xf numFmtId="0" fontId="8" fillId="36" borderId="0" xfId="48" applyFont="1" applyFill="1" applyBorder="1" applyAlignment="1">
      <alignment vertical="center"/>
    </xf>
    <xf numFmtId="0" fontId="8" fillId="36" borderId="0" xfId="0" applyFont="1" applyFill="1" applyBorder="1" applyAlignment="1">
      <alignment/>
    </xf>
    <xf numFmtId="0" fontId="13" fillId="36" borderId="0" xfId="0" applyFont="1" applyFill="1" applyBorder="1" applyAlignment="1" applyProtection="1">
      <alignment horizontal="center" vertical="center"/>
      <protection locked="0"/>
    </xf>
    <xf numFmtId="0" fontId="9" fillId="36" borderId="0" xfId="0" applyFont="1" applyFill="1" applyBorder="1" applyAlignment="1" applyProtection="1">
      <alignment vertical="top"/>
      <protection locked="0"/>
    </xf>
    <xf numFmtId="0" fontId="69" fillId="36" borderId="0" xfId="0" applyFont="1" applyFill="1" applyBorder="1" applyAlignment="1" applyProtection="1">
      <alignment horizontal="center" vertical="center" wrapText="1"/>
      <protection locked="0"/>
    </xf>
    <xf numFmtId="0" fontId="70" fillId="36" borderId="0" xfId="0" applyFont="1" applyFill="1" applyBorder="1" applyAlignment="1" applyProtection="1">
      <alignment vertical="top"/>
      <protection locked="0"/>
    </xf>
    <xf numFmtId="0" fontId="9" fillId="40" borderId="0" xfId="0" applyFont="1" applyFill="1" applyBorder="1" applyAlignment="1" applyProtection="1">
      <alignment horizontal="center" vertical="center" wrapText="1"/>
      <protection locked="0"/>
    </xf>
    <xf numFmtId="0" fontId="9" fillId="36" borderId="0" xfId="0" applyFont="1" applyFill="1" applyBorder="1" applyAlignment="1" applyProtection="1">
      <alignment vertical="center" wrapText="1"/>
      <protection locked="0"/>
    </xf>
    <xf numFmtId="0" fontId="17" fillId="36" borderId="0" xfId="0" applyFont="1" applyFill="1" applyBorder="1" applyAlignment="1" applyProtection="1">
      <alignment vertical="top"/>
      <protection locked="0"/>
    </xf>
    <xf numFmtId="0" fontId="16" fillId="36" borderId="0" xfId="0" applyFont="1" applyFill="1" applyBorder="1" applyAlignment="1" applyProtection="1">
      <alignment vertical="top"/>
      <protection locked="0"/>
    </xf>
    <xf numFmtId="0" fontId="71" fillId="36" borderId="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left" vertical="center"/>
      <protection locked="0"/>
    </xf>
    <xf numFmtId="0" fontId="72" fillId="36" borderId="0" xfId="0" applyFont="1" applyFill="1" applyBorder="1" applyAlignment="1" applyProtection="1">
      <alignment horizontal="center" vertical="center" wrapText="1"/>
      <protection locked="0"/>
    </xf>
    <xf numFmtId="199" fontId="66" fillId="36" borderId="15" xfId="50" applyNumberFormat="1" applyFont="1" applyFill="1" applyBorder="1" applyAlignment="1">
      <alignment horizontal="right" vertical="center"/>
      <protection/>
    </xf>
    <xf numFmtId="0" fontId="11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8" fillId="33" borderId="31" xfId="0" applyFont="1" applyFill="1" applyBorder="1" applyAlignment="1" applyProtection="1">
      <alignment horizontal="right" vertical="top"/>
      <protection locked="0"/>
    </xf>
    <xf numFmtId="0" fontId="10" fillId="33" borderId="0" xfId="0" applyFont="1" applyFill="1" applyAlignment="1">
      <alignment horizontal="center" vertical="center" wrapText="1"/>
    </xf>
    <xf numFmtId="0" fontId="8" fillId="33" borderId="0" xfId="48" applyFont="1" applyFill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left" vertical="center" wrapText="1"/>
      <protection locked="0"/>
    </xf>
    <xf numFmtId="0" fontId="9" fillId="38" borderId="13" xfId="0" applyFont="1" applyFill="1" applyBorder="1" applyAlignment="1" applyProtection="1">
      <alignment horizontal="left" vertical="center" wrapText="1"/>
      <protection locked="0"/>
    </xf>
    <xf numFmtId="193" fontId="8" fillId="33" borderId="0" xfId="0" applyNumberFormat="1" applyFont="1" applyFill="1" applyAlignment="1">
      <alignment horizontal="center"/>
    </xf>
    <xf numFmtId="0" fontId="8" fillId="41" borderId="32" xfId="0" applyFont="1" applyFill="1" applyBorder="1" applyAlignment="1">
      <alignment horizontal="center" vertical="center" wrapText="1"/>
    </xf>
    <xf numFmtId="0" fontId="8" fillId="41" borderId="33" xfId="0" applyFont="1" applyFill="1" applyBorder="1" applyAlignment="1">
      <alignment horizontal="center" vertical="center" wrapText="1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193" fontId="8" fillId="35" borderId="32" xfId="0" applyNumberFormat="1" applyFont="1" applyFill="1" applyBorder="1" applyAlignment="1">
      <alignment horizontal="center" vertical="center" wrapText="1"/>
    </xf>
    <xf numFmtId="193" fontId="8" fillId="35" borderId="33" xfId="0" applyNumberFormat="1" applyFont="1" applyFill="1" applyBorder="1" applyAlignment="1">
      <alignment horizontal="center" vertical="center" wrapText="1"/>
    </xf>
    <xf numFmtId="193" fontId="8" fillId="41" borderId="32" xfId="0" applyNumberFormat="1" applyFont="1" applyFill="1" applyBorder="1" applyAlignment="1">
      <alignment horizontal="center" vertical="center" wrapText="1"/>
    </xf>
    <xf numFmtId="193" fontId="8" fillId="41" borderId="3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5" xfId="52"/>
    <cellStyle name="Normal 5 2" xfId="53"/>
    <cellStyle name="Normal 5 3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808080"/>
      <rgbColor rgb="00FF00FF"/>
      <rgbColor rgb="00008000"/>
      <rgbColor rgb="0000FF00"/>
      <rgbColor rgb="00C0C0C0"/>
      <rgbColor rgb="00800000"/>
      <rgbColor rgb="00800080"/>
      <rgbColor rgb="00000080"/>
      <rgbColor rgb="00FFFF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85725</xdr:rowOff>
    </xdr:from>
    <xdr:to>
      <xdr:col>1</xdr:col>
      <xdr:colOff>485775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0"/>
          <a:ext cx="762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3</xdr:row>
      <xdr:rowOff>104775</xdr:rowOff>
    </xdr:from>
    <xdr:to>
      <xdr:col>2</xdr:col>
      <xdr:colOff>3238500</xdr:colOff>
      <xdr:row>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590550"/>
          <a:ext cx="3400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29"/>
  <sheetViews>
    <sheetView tabSelected="1" zoomScalePageLayoutView="0" workbookViewId="0" topLeftCell="A311">
      <selection activeCell="J72" sqref="J72"/>
    </sheetView>
  </sheetViews>
  <sheetFormatPr defaultColWidth="9.140625" defaultRowHeight="12.75"/>
  <cols>
    <col min="1" max="1" width="5.7109375" style="7" customWidth="1"/>
    <col min="2" max="2" width="9.7109375" style="7" customWidth="1"/>
    <col min="3" max="3" width="50.7109375" style="7" customWidth="1"/>
    <col min="4" max="4" width="6.7109375" style="11" customWidth="1"/>
    <col min="5" max="5" width="7.7109375" style="7" customWidth="1"/>
    <col min="6" max="6" width="8.7109375" style="7" customWidth="1"/>
    <col min="7" max="7" width="12.7109375" style="7" customWidth="1"/>
    <col min="8" max="8" width="2.7109375" style="19" customWidth="1"/>
    <col min="9" max="9" width="50.7109375" style="135" hidden="1" customWidth="1"/>
    <col min="10" max="10" width="41.7109375" style="135" customWidth="1"/>
    <col min="11" max="11" width="69.140625" style="34" customWidth="1"/>
    <col min="12" max="66" width="9.140625" style="34" customWidth="1"/>
    <col min="67" max="16384" width="9.140625" style="27" customWidth="1"/>
  </cols>
  <sheetData>
    <row r="1" spans="1:8" ht="12.75" customHeight="1">
      <c r="A1" s="150" t="s">
        <v>48</v>
      </c>
      <c r="B1" s="150"/>
      <c r="C1" s="150"/>
      <c r="D1" s="150"/>
      <c r="E1" s="150"/>
      <c r="F1" s="150"/>
      <c r="G1" s="150"/>
      <c r="H1" s="22"/>
    </row>
    <row r="2" spans="1:8" ht="12.75" customHeight="1">
      <c r="A2" s="150"/>
      <c r="B2" s="150"/>
      <c r="C2" s="150"/>
      <c r="D2" s="150"/>
      <c r="E2" s="150"/>
      <c r="F2" s="150"/>
      <c r="G2" s="150"/>
      <c r="H2" s="22"/>
    </row>
    <row r="3" spans="1:8" ht="12.75" customHeight="1">
      <c r="A3" s="150"/>
      <c r="B3" s="150"/>
      <c r="C3" s="150"/>
      <c r="D3" s="150"/>
      <c r="E3" s="150"/>
      <c r="F3" s="150"/>
      <c r="G3" s="150"/>
      <c r="H3" s="22"/>
    </row>
    <row r="4" spans="1:66" s="31" customFormat="1" ht="10.5" customHeight="1">
      <c r="A4" s="1"/>
      <c r="B4" s="2"/>
      <c r="C4" s="154"/>
      <c r="D4" s="154"/>
      <c r="E4" s="3"/>
      <c r="F4" s="3"/>
      <c r="G4" s="4"/>
      <c r="H4" s="23"/>
      <c r="I4" s="136"/>
      <c r="J4" s="136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</row>
    <row r="5" spans="1:66" s="31" customFormat="1" ht="10.5" customHeight="1">
      <c r="A5" s="1"/>
      <c r="B5" s="2"/>
      <c r="C5" s="154"/>
      <c r="D5" s="154"/>
      <c r="E5" s="5"/>
      <c r="F5" s="5"/>
      <c r="G5" s="6"/>
      <c r="H5" s="24"/>
      <c r="I5" s="136"/>
      <c r="J5" s="136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</row>
    <row r="6" spans="1:66" s="31" customFormat="1" ht="10.5" customHeight="1">
      <c r="A6" s="1"/>
      <c r="B6" s="2"/>
      <c r="C6" s="154"/>
      <c r="D6" s="154"/>
      <c r="E6" s="3"/>
      <c r="F6" s="3"/>
      <c r="G6" s="4"/>
      <c r="H6" s="23"/>
      <c r="I6" s="136"/>
      <c r="J6" s="136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</row>
    <row r="7" spans="1:66" s="31" customFormat="1" ht="10.5" customHeight="1">
      <c r="A7" s="1"/>
      <c r="B7" s="2"/>
      <c r="C7" s="154"/>
      <c r="D7" s="154"/>
      <c r="E7" s="3"/>
      <c r="F7" s="3"/>
      <c r="G7" s="4"/>
      <c r="H7" s="23"/>
      <c r="I7" s="136"/>
      <c r="J7" s="13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</row>
    <row r="8" spans="1:66" s="32" customFormat="1" ht="15" customHeight="1">
      <c r="A8" s="7"/>
      <c r="B8" s="7"/>
      <c r="C8" s="154"/>
      <c r="D8" s="154"/>
      <c r="E8" s="7"/>
      <c r="F8" s="151"/>
      <c r="G8" s="151"/>
      <c r="H8" s="25"/>
      <c r="I8" s="137"/>
      <c r="J8" s="137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</row>
    <row r="9" spans="1:66" s="32" customFormat="1" ht="19.5" customHeight="1">
      <c r="A9" s="153" t="s">
        <v>99</v>
      </c>
      <c r="B9" s="153"/>
      <c r="C9" s="153"/>
      <c r="D9" s="153"/>
      <c r="E9" s="153"/>
      <c r="F9" s="153"/>
      <c r="G9" s="153"/>
      <c r="H9" s="26"/>
      <c r="I9" s="137"/>
      <c r="J9" s="137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</row>
    <row r="10" spans="1:66" s="32" customFormat="1" ht="19.5" customHeight="1">
      <c r="A10" s="153"/>
      <c r="B10" s="153"/>
      <c r="C10" s="153"/>
      <c r="D10" s="153"/>
      <c r="E10" s="153"/>
      <c r="F10" s="153"/>
      <c r="G10" s="153"/>
      <c r="H10" s="26"/>
      <c r="I10" s="137"/>
      <c r="J10" s="137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</row>
    <row r="11" spans="1:66" s="32" customFormat="1" ht="15" customHeight="1">
      <c r="A11" s="152" t="s">
        <v>749</v>
      </c>
      <c r="B11" s="152"/>
      <c r="C11" s="152"/>
      <c r="D11" s="152"/>
      <c r="E11" s="152"/>
      <c r="F11" s="152"/>
      <c r="G11" s="152"/>
      <c r="H11" s="15"/>
      <c r="I11" s="137"/>
      <c r="J11" s="137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</row>
    <row r="12" spans="1:8" ht="19.5" customHeight="1" thickBot="1">
      <c r="A12" s="8" t="s">
        <v>0</v>
      </c>
      <c r="B12" s="8" t="s">
        <v>47</v>
      </c>
      <c r="C12" s="9" t="s">
        <v>1</v>
      </c>
      <c r="D12" s="8" t="s">
        <v>2</v>
      </c>
      <c r="E12" s="8" t="s">
        <v>3</v>
      </c>
      <c r="F12" s="8" t="s">
        <v>4</v>
      </c>
      <c r="G12" s="8" t="s">
        <v>5</v>
      </c>
      <c r="H12" s="16"/>
    </row>
    <row r="13" spans="1:8" ht="9.75" customHeight="1" thickBot="1">
      <c r="A13" s="10"/>
      <c r="B13" s="10"/>
      <c r="C13" s="12"/>
      <c r="D13" s="10"/>
      <c r="E13" s="10"/>
      <c r="F13" s="10"/>
      <c r="G13" s="10"/>
      <c r="H13" s="16"/>
    </row>
    <row r="14" spans="1:66" s="33" customFormat="1" ht="19.5" customHeight="1" thickBot="1">
      <c r="A14" s="29" t="s">
        <v>12</v>
      </c>
      <c r="B14" s="28"/>
      <c r="C14" s="30" t="s">
        <v>20</v>
      </c>
      <c r="D14" s="28"/>
      <c r="E14" s="28"/>
      <c r="F14" s="28"/>
      <c r="G14" s="133">
        <f>SUM(G15:G42)</f>
        <v>234872.50999999998</v>
      </c>
      <c r="H14" s="17"/>
      <c r="I14" s="138" t="s">
        <v>229</v>
      </c>
      <c r="J14" s="139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</row>
    <row r="15" spans="1:10" s="34" customFormat="1" ht="30" customHeight="1">
      <c r="A15" s="18" t="s">
        <v>13</v>
      </c>
      <c r="B15" s="18" t="s">
        <v>27</v>
      </c>
      <c r="C15" s="20" t="s">
        <v>24</v>
      </c>
      <c r="D15" s="18" t="s">
        <v>6</v>
      </c>
      <c r="E15" s="21">
        <f>ROUND(2*3,2)</f>
        <v>6</v>
      </c>
      <c r="F15" s="21">
        <v>502.79</v>
      </c>
      <c r="G15" s="21">
        <f>ROUND(E15*F15,2)</f>
        <v>3016.74</v>
      </c>
      <c r="H15" s="16"/>
      <c r="I15" s="89" t="s">
        <v>233</v>
      </c>
      <c r="J15" s="135"/>
    </row>
    <row r="16" spans="1:10" s="34" customFormat="1" ht="60" customHeight="1">
      <c r="A16" s="18" t="s">
        <v>14</v>
      </c>
      <c r="B16" s="18" t="s">
        <v>80</v>
      </c>
      <c r="C16" s="20" t="s">
        <v>79</v>
      </c>
      <c r="D16" s="18" t="s">
        <v>6</v>
      </c>
      <c r="E16" s="21">
        <f>ROUND((38.8*2)+(23.2*2)+(40.65*2),2)</f>
        <v>205.3</v>
      </c>
      <c r="F16" s="21">
        <v>39.61</v>
      </c>
      <c r="G16" s="21">
        <f aca="true" t="shared" si="0" ref="G16:G27">ROUND(E16*F16,2)</f>
        <v>8131.93</v>
      </c>
      <c r="H16" s="16"/>
      <c r="I16" s="89" t="s">
        <v>234</v>
      </c>
      <c r="J16" s="135"/>
    </row>
    <row r="17" spans="1:10" s="34" customFormat="1" ht="90" customHeight="1">
      <c r="A17" s="18" t="s">
        <v>15</v>
      </c>
      <c r="B17" s="18" t="s">
        <v>102</v>
      </c>
      <c r="C17" s="20" t="s">
        <v>103</v>
      </c>
      <c r="D17" s="18" t="s">
        <v>6</v>
      </c>
      <c r="E17" s="21">
        <f>ROUND(4*5,2)</f>
        <v>20</v>
      </c>
      <c r="F17" s="21">
        <v>475.26</v>
      </c>
      <c r="G17" s="21">
        <f>ROUND(E17*F17,2)</f>
        <v>9505.2</v>
      </c>
      <c r="H17" s="16"/>
      <c r="I17" s="89" t="s">
        <v>230</v>
      </c>
      <c r="J17" s="135"/>
    </row>
    <row r="18" spans="1:10" s="34" customFormat="1" ht="75" customHeight="1">
      <c r="A18" s="18" t="s">
        <v>8</v>
      </c>
      <c r="B18" s="18" t="s">
        <v>104</v>
      </c>
      <c r="C18" s="20" t="s">
        <v>105</v>
      </c>
      <c r="D18" s="18" t="s">
        <v>49</v>
      </c>
      <c r="E18" s="21">
        <f>ROUND(1*8,2)</f>
        <v>8</v>
      </c>
      <c r="F18" s="21">
        <v>1150</v>
      </c>
      <c r="G18" s="21">
        <f>ROUND(E18*F18,2)</f>
        <v>9200</v>
      </c>
      <c r="H18" s="16"/>
      <c r="I18" s="89" t="s">
        <v>236</v>
      </c>
      <c r="J18" s="135"/>
    </row>
    <row r="19" spans="1:10" s="34" customFormat="1" ht="75" customHeight="1">
      <c r="A19" s="18" t="s">
        <v>9</v>
      </c>
      <c r="B19" s="18" t="s">
        <v>28</v>
      </c>
      <c r="C19" s="20" t="s">
        <v>25</v>
      </c>
      <c r="D19" s="18" t="s">
        <v>10</v>
      </c>
      <c r="E19" s="21">
        <f>ROUND(13.6*2.85*2,2)</f>
        <v>77.52</v>
      </c>
      <c r="F19" s="21">
        <v>13</v>
      </c>
      <c r="G19" s="21">
        <f t="shared" si="0"/>
        <v>1007.76</v>
      </c>
      <c r="H19" s="16"/>
      <c r="I19" s="89" t="s">
        <v>257</v>
      </c>
      <c r="J19" s="135"/>
    </row>
    <row r="20" spans="1:10" s="34" customFormat="1" ht="30" customHeight="1">
      <c r="A20" s="18" t="s">
        <v>22</v>
      </c>
      <c r="B20" s="18" t="s">
        <v>29</v>
      </c>
      <c r="C20" s="20" t="s">
        <v>38</v>
      </c>
      <c r="D20" s="18" t="s">
        <v>6</v>
      </c>
      <c r="E20" s="21">
        <f>ROUND(13.6*2.85*2,2)</f>
        <v>77.52</v>
      </c>
      <c r="F20" s="21">
        <v>6.53</v>
      </c>
      <c r="G20" s="21">
        <f t="shared" si="0"/>
        <v>506.21</v>
      </c>
      <c r="H20" s="16"/>
      <c r="I20" s="89" t="s">
        <v>258</v>
      </c>
      <c r="J20" s="135"/>
    </row>
    <row r="21" spans="1:10" s="34" customFormat="1" ht="45" customHeight="1">
      <c r="A21" s="18" t="s">
        <v>23</v>
      </c>
      <c r="B21" s="18" t="s">
        <v>81</v>
      </c>
      <c r="C21" s="20" t="s">
        <v>82</v>
      </c>
      <c r="D21" s="18" t="s">
        <v>11</v>
      </c>
      <c r="E21" s="21">
        <f>ROUND(13.6*2.85*55,2)</f>
        <v>2131.8</v>
      </c>
      <c r="F21" s="21">
        <v>0.19</v>
      </c>
      <c r="G21" s="21">
        <f t="shared" si="0"/>
        <v>405.04</v>
      </c>
      <c r="H21" s="16"/>
      <c r="I21" s="89" t="s">
        <v>259</v>
      </c>
      <c r="J21" s="135"/>
    </row>
    <row r="22" spans="1:10" s="34" customFormat="1" ht="45" customHeight="1">
      <c r="A22" s="18" t="s">
        <v>26</v>
      </c>
      <c r="B22" s="18" t="s">
        <v>83</v>
      </c>
      <c r="C22" s="20" t="s">
        <v>19</v>
      </c>
      <c r="D22" s="18" t="s">
        <v>6</v>
      </c>
      <c r="E22" s="21">
        <f>ROUND(13.6*2.85,2)</f>
        <v>38.76</v>
      </c>
      <c r="F22" s="21">
        <v>0.91</v>
      </c>
      <c r="G22" s="21">
        <f t="shared" si="0"/>
        <v>35.27</v>
      </c>
      <c r="H22" s="16"/>
      <c r="I22" s="89" t="s">
        <v>260</v>
      </c>
      <c r="J22" s="135"/>
    </row>
    <row r="23" spans="1:10" s="34" customFormat="1" ht="45" customHeight="1">
      <c r="A23" s="18" t="s">
        <v>33</v>
      </c>
      <c r="B23" s="18" t="s">
        <v>84</v>
      </c>
      <c r="C23" s="20" t="s">
        <v>85</v>
      </c>
      <c r="D23" s="18" t="s">
        <v>6</v>
      </c>
      <c r="E23" s="21">
        <f>ROUND(13.6*0.9,2)</f>
        <v>12.24</v>
      </c>
      <c r="F23" s="21">
        <v>2.09</v>
      </c>
      <c r="G23" s="21">
        <f t="shared" si="0"/>
        <v>25.58</v>
      </c>
      <c r="H23" s="16"/>
      <c r="I23" s="89" t="s">
        <v>261</v>
      </c>
      <c r="J23" s="135"/>
    </row>
    <row r="24" spans="1:10" s="34" customFormat="1" ht="15" customHeight="1">
      <c r="A24" s="18" t="s">
        <v>34</v>
      </c>
      <c r="B24" s="18" t="s">
        <v>109</v>
      </c>
      <c r="C24" s="20" t="s">
        <v>110</v>
      </c>
      <c r="D24" s="18" t="s">
        <v>108</v>
      </c>
      <c r="E24" s="21">
        <f>ROUND(1*8,2)</f>
        <v>8</v>
      </c>
      <c r="F24" s="21">
        <v>2944.48</v>
      </c>
      <c r="G24" s="21">
        <f t="shared" si="0"/>
        <v>23555.84</v>
      </c>
      <c r="H24" s="16"/>
      <c r="I24" s="89" t="s">
        <v>235</v>
      </c>
      <c r="J24" s="135"/>
    </row>
    <row r="25" spans="1:10" s="34" customFormat="1" ht="15" customHeight="1">
      <c r="A25" s="18" t="s">
        <v>35</v>
      </c>
      <c r="B25" s="18" t="s">
        <v>106</v>
      </c>
      <c r="C25" s="20" t="s">
        <v>107</v>
      </c>
      <c r="D25" s="18" t="s">
        <v>108</v>
      </c>
      <c r="E25" s="21">
        <f>ROUND(1*8,2)</f>
        <v>8</v>
      </c>
      <c r="F25" s="21">
        <v>6427.52</v>
      </c>
      <c r="G25" s="21">
        <f t="shared" si="0"/>
        <v>51420.16</v>
      </c>
      <c r="H25" s="16"/>
      <c r="I25" s="89" t="s">
        <v>235</v>
      </c>
      <c r="J25" s="135"/>
    </row>
    <row r="26" spans="1:10" s="34" customFormat="1" ht="120" customHeight="1">
      <c r="A26" s="18" t="s">
        <v>36</v>
      </c>
      <c r="B26" s="18" t="s">
        <v>96</v>
      </c>
      <c r="C26" s="20" t="s">
        <v>97</v>
      </c>
      <c r="D26" s="18" t="s">
        <v>95</v>
      </c>
      <c r="E26" s="21">
        <v>115.14</v>
      </c>
      <c r="F26" s="21">
        <v>32.56</v>
      </c>
      <c r="G26" s="21">
        <f>ROUND(E26*F26,2)</f>
        <v>3748.96</v>
      </c>
      <c r="H26" s="16"/>
      <c r="I26" s="89" t="s">
        <v>750</v>
      </c>
      <c r="J26" s="135"/>
    </row>
    <row r="27" spans="1:10" s="34" customFormat="1" ht="30" customHeight="1">
      <c r="A27" s="18" t="s">
        <v>39</v>
      </c>
      <c r="B27" s="18" t="s">
        <v>111</v>
      </c>
      <c r="C27" s="20" t="s">
        <v>112</v>
      </c>
      <c r="D27" s="18" t="s">
        <v>6</v>
      </c>
      <c r="E27" s="21">
        <f>ROUND((4.9*7.45)+(7.2*13.5)+(5.4*10.45),2)</f>
        <v>190.14</v>
      </c>
      <c r="F27" s="21">
        <v>3.33</v>
      </c>
      <c r="G27" s="21">
        <f t="shared" si="0"/>
        <v>633.17</v>
      </c>
      <c r="H27" s="16"/>
      <c r="I27" s="89" t="s">
        <v>232</v>
      </c>
      <c r="J27" s="135"/>
    </row>
    <row r="28" spans="1:10" s="34" customFormat="1" ht="60" customHeight="1">
      <c r="A28" s="18" t="s">
        <v>86</v>
      </c>
      <c r="B28" s="18" t="s">
        <v>100</v>
      </c>
      <c r="C28" s="20" t="s">
        <v>101</v>
      </c>
      <c r="D28" s="18" t="s">
        <v>6</v>
      </c>
      <c r="E28" s="21">
        <v>2034.91</v>
      </c>
      <c r="F28" s="21">
        <v>12.13</v>
      </c>
      <c r="G28" s="21">
        <f aca="true" t="shared" si="1" ref="G28:G39">ROUND(E28*F28,2)</f>
        <v>24683.46</v>
      </c>
      <c r="H28" s="16"/>
      <c r="I28" s="89" t="s">
        <v>231</v>
      </c>
      <c r="J28" s="135"/>
    </row>
    <row r="29" spans="1:10" s="34" customFormat="1" ht="30" customHeight="1">
      <c r="A29" s="18" t="s">
        <v>87</v>
      </c>
      <c r="B29" s="18" t="s">
        <v>65</v>
      </c>
      <c r="C29" s="20" t="s">
        <v>113</v>
      </c>
      <c r="D29" s="18" t="s">
        <v>7</v>
      </c>
      <c r="E29" s="21">
        <f>ROUND(8+9+1+10+7,2)</f>
        <v>35</v>
      </c>
      <c r="F29" s="21">
        <v>23.13</v>
      </c>
      <c r="G29" s="21">
        <f t="shared" si="1"/>
        <v>809.55</v>
      </c>
      <c r="H29" s="16"/>
      <c r="I29" s="89" t="s">
        <v>267</v>
      </c>
      <c r="J29" s="135"/>
    </row>
    <row r="30" spans="1:10" s="34" customFormat="1" ht="15" customHeight="1">
      <c r="A30" s="18" t="s">
        <v>88</v>
      </c>
      <c r="B30" s="18" t="s">
        <v>114</v>
      </c>
      <c r="C30" s="20" t="s">
        <v>115</v>
      </c>
      <c r="D30" s="18" t="s">
        <v>7</v>
      </c>
      <c r="E30" s="21">
        <f>ROUND(2+4+1,2)</f>
        <v>7</v>
      </c>
      <c r="F30" s="21">
        <v>19.48</v>
      </c>
      <c r="G30" s="21">
        <f t="shared" si="1"/>
        <v>136.36</v>
      </c>
      <c r="H30" s="16"/>
      <c r="I30" s="89" t="s">
        <v>265</v>
      </c>
      <c r="J30" s="135"/>
    </row>
    <row r="31" spans="1:10" s="34" customFormat="1" ht="45" customHeight="1">
      <c r="A31" s="18" t="s">
        <v>94</v>
      </c>
      <c r="B31" s="18" t="s">
        <v>116</v>
      </c>
      <c r="C31" s="20" t="s">
        <v>117</v>
      </c>
      <c r="D31" s="18" t="s">
        <v>18</v>
      </c>
      <c r="E31" s="21">
        <f>ROUND(2+2+2,2)</f>
        <v>6</v>
      </c>
      <c r="F31" s="21">
        <v>38.96</v>
      </c>
      <c r="G31" s="21">
        <f t="shared" si="1"/>
        <v>233.76</v>
      </c>
      <c r="H31" s="16"/>
      <c r="I31" s="89" t="s">
        <v>264</v>
      </c>
      <c r="J31" s="135"/>
    </row>
    <row r="32" spans="1:10" s="34" customFormat="1" ht="15" customHeight="1">
      <c r="A32" s="18" t="s">
        <v>129</v>
      </c>
      <c r="B32" s="18" t="s">
        <v>98</v>
      </c>
      <c r="C32" s="20" t="s">
        <v>118</v>
      </c>
      <c r="D32" s="18" t="s">
        <v>6</v>
      </c>
      <c r="E32" s="21">
        <v>1</v>
      </c>
      <c r="F32" s="21">
        <v>16.34</v>
      </c>
      <c r="G32" s="21">
        <f t="shared" si="1"/>
        <v>16.34</v>
      </c>
      <c r="H32" s="16"/>
      <c r="I32" s="89" t="s">
        <v>266</v>
      </c>
      <c r="J32" s="135"/>
    </row>
    <row r="33" spans="1:10" s="34" customFormat="1" ht="30" customHeight="1">
      <c r="A33" s="18" t="s">
        <v>130</v>
      </c>
      <c r="B33" s="18" t="s">
        <v>119</v>
      </c>
      <c r="C33" s="20" t="s">
        <v>120</v>
      </c>
      <c r="D33" s="18" t="s">
        <v>32</v>
      </c>
      <c r="E33" s="21">
        <f>ROUND((68.5*3*0.1)+(5.95*3*0.1)+(12.8*1.15*0.1)+(57.69*3*0.1)+(4.2*3*0.1),2)</f>
        <v>42.37</v>
      </c>
      <c r="F33" s="21">
        <v>83.73</v>
      </c>
      <c r="G33" s="21">
        <f t="shared" si="1"/>
        <v>3547.64</v>
      </c>
      <c r="H33" s="16"/>
      <c r="I33" s="89" t="s">
        <v>268</v>
      </c>
      <c r="J33" s="127"/>
    </row>
    <row r="34" spans="1:10" s="34" customFormat="1" ht="60" customHeight="1">
      <c r="A34" s="18" t="s">
        <v>131</v>
      </c>
      <c r="B34" s="18" t="s">
        <v>121</v>
      </c>
      <c r="C34" s="20" t="s">
        <v>122</v>
      </c>
      <c r="D34" s="18" t="s">
        <v>32</v>
      </c>
      <c r="E34" s="21">
        <f>ROUND((0.12*0.33*25)+(91.6+0.12+0.3*2)+(0.12*0.3*3*2)+(5.95*0.12*0.3*2)+(0.3*0.3*2.3*6)+(12.8*0.2*0.2)+(12.8*0.3*0.2)+(0.12*0.3*3*10)+(57.69*0.12*0.3*2)+(0.12*0.3*3*1)+(4.2*0.12*0.3*2),2)</f>
        <v>102.12</v>
      </c>
      <c r="F34" s="21">
        <v>309.16</v>
      </c>
      <c r="G34" s="21">
        <f t="shared" si="1"/>
        <v>31571.42</v>
      </c>
      <c r="H34" s="16"/>
      <c r="I34" s="89" t="s">
        <v>269</v>
      </c>
      <c r="J34" s="127"/>
    </row>
    <row r="35" spans="1:10" s="34" customFormat="1" ht="30" customHeight="1">
      <c r="A35" s="18" t="s">
        <v>132</v>
      </c>
      <c r="B35" s="18" t="s">
        <v>123</v>
      </c>
      <c r="C35" s="20" t="s">
        <v>124</v>
      </c>
      <c r="D35" s="18" t="s">
        <v>6</v>
      </c>
      <c r="E35" s="21">
        <f>ROUND(91.36+43.04+43.67+43.67+47.57+35.97+35.97+35.31+7.39+15.3+9.9+35.97+34.18+35.64+16.3+27.6+2.31+2.39+11.16+10.81+11.1+11.1+11.69+15.63+18.74+322.33,2)</f>
        <v>976.1</v>
      </c>
      <c r="F35" s="21">
        <v>24.51</v>
      </c>
      <c r="G35" s="21">
        <f t="shared" si="1"/>
        <v>23924.21</v>
      </c>
      <c r="H35" s="16"/>
      <c r="I35" s="89" t="s">
        <v>270</v>
      </c>
      <c r="J35" s="132"/>
    </row>
    <row r="36" spans="1:10" s="34" customFormat="1" ht="45" customHeight="1">
      <c r="A36" s="18" t="s">
        <v>133</v>
      </c>
      <c r="B36" s="18" t="s">
        <v>125</v>
      </c>
      <c r="C36" s="20" t="s">
        <v>126</v>
      </c>
      <c r="D36" s="18" t="s">
        <v>6</v>
      </c>
      <c r="E36" s="21">
        <f>ROUND(62.25+10.85+11.37+5.4+3.3+3.2+11.38+66.62+112.88+13.95+44.23,2)</f>
        <v>345.43</v>
      </c>
      <c r="F36" s="21">
        <v>15.96</v>
      </c>
      <c r="G36" s="21">
        <f t="shared" si="1"/>
        <v>5513.06</v>
      </c>
      <c r="H36" s="16"/>
      <c r="I36" s="89" t="s">
        <v>271</v>
      </c>
      <c r="J36" s="140"/>
    </row>
    <row r="37" spans="1:10" s="34" customFormat="1" ht="30" customHeight="1">
      <c r="A37" s="18" t="s">
        <v>134</v>
      </c>
      <c r="B37" s="18" t="s">
        <v>50</v>
      </c>
      <c r="C37" s="20" t="s">
        <v>127</v>
      </c>
      <c r="D37" s="18" t="s">
        <v>6</v>
      </c>
      <c r="E37" s="21">
        <f>ROUND(625,2)</f>
        <v>625</v>
      </c>
      <c r="F37" s="21">
        <v>5.72</v>
      </c>
      <c r="G37" s="21">
        <f t="shared" si="1"/>
        <v>3575</v>
      </c>
      <c r="H37" s="16"/>
      <c r="I37" s="89" t="s">
        <v>305</v>
      </c>
      <c r="J37" s="132"/>
    </row>
    <row r="38" spans="1:10" s="34" customFormat="1" ht="60" customHeight="1">
      <c r="A38" s="18" t="s">
        <v>135</v>
      </c>
      <c r="B38" s="18" t="s">
        <v>128</v>
      </c>
      <c r="C38" s="20" t="s">
        <v>272</v>
      </c>
      <c r="D38" s="18" t="s">
        <v>7</v>
      </c>
      <c r="E38" s="21">
        <f>ROUND(160/5,2)</f>
        <v>32</v>
      </c>
      <c r="F38" s="21">
        <v>309.8</v>
      </c>
      <c r="G38" s="21">
        <f t="shared" si="1"/>
        <v>9913.6</v>
      </c>
      <c r="H38" s="16"/>
      <c r="I38" s="89" t="s">
        <v>273</v>
      </c>
      <c r="J38" s="127"/>
    </row>
    <row r="39" spans="1:10" s="34" customFormat="1" ht="45" customHeight="1">
      <c r="A39" s="18" t="s">
        <v>136</v>
      </c>
      <c r="B39" s="18" t="s">
        <v>274</v>
      </c>
      <c r="C39" s="20" t="s">
        <v>275</v>
      </c>
      <c r="D39" s="18" t="s">
        <v>7</v>
      </c>
      <c r="E39" s="21">
        <v>1</v>
      </c>
      <c r="F39" s="21">
        <v>224.53</v>
      </c>
      <c r="G39" s="21">
        <f t="shared" si="1"/>
        <v>224.53</v>
      </c>
      <c r="H39" s="16"/>
      <c r="I39" s="89" t="s">
        <v>276</v>
      </c>
      <c r="J39" s="135"/>
    </row>
    <row r="40" spans="1:10" s="34" customFormat="1" ht="45" customHeight="1">
      <c r="A40" s="18" t="s">
        <v>290</v>
      </c>
      <c r="B40" s="18" t="s">
        <v>292</v>
      </c>
      <c r="C40" s="20" t="s">
        <v>293</v>
      </c>
      <c r="D40" s="18" t="s">
        <v>6</v>
      </c>
      <c r="E40" s="21">
        <f>ROUND(11.05*6.6,2)</f>
        <v>72.93</v>
      </c>
      <c r="F40" s="21">
        <v>112.37</v>
      </c>
      <c r="G40" s="21">
        <f>ROUND(E40*F40,2)</f>
        <v>8195.14</v>
      </c>
      <c r="H40" s="16"/>
      <c r="I40" s="89" t="s">
        <v>296</v>
      </c>
      <c r="J40" s="135"/>
    </row>
    <row r="41" spans="1:10" s="34" customFormat="1" ht="45" customHeight="1">
      <c r="A41" s="18" t="s">
        <v>291</v>
      </c>
      <c r="B41" s="18" t="s">
        <v>294</v>
      </c>
      <c r="C41" s="20" t="s">
        <v>295</v>
      </c>
      <c r="D41" s="18" t="s">
        <v>6</v>
      </c>
      <c r="E41" s="21">
        <f>ROUND(11.05*6.6,2)</f>
        <v>72.93</v>
      </c>
      <c r="F41" s="21">
        <v>70.13</v>
      </c>
      <c r="G41" s="21">
        <f>ROUND(E41*F41,2)</f>
        <v>5114.58</v>
      </c>
      <c r="H41" s="16"/>
      <c r="I41" s="89" t="s">
        <v>296</v>
      </c>
      <c r="J41" s="135"/>
    </row>
    <row r="42" spans="1:10" s="34" customFormat="1" ht="45" customHeight="1">
      <c r="A42" s="18" t="s">
        <v>639</v>
      </c>
      <c r="B42" s="18" t="s">
        <v>643</v>
      </c>
      <c r="C42" s="20" t="s">
        <v>644</v>
      </c>
      <c r="D42" s="18" t="s">
        <v>6</v>
      </c>
      <c r="E42" s="83">
        <f>ROUND((88.18+43.04+44.23+43.67+43.67+47.57+35.97+35.97+35.31+35.97+34.98+35.64+322.33),2)</f>
        <v>846.53</v>
      </c>
      <c r="F42" s="21">
        <v>7.35</v>
      </c>
      <c r="G42" s="21">
        <f>ROUND(E42*F42,2)</f>
        <v>6222</v>
      </c>
      <c r="H42" s="16"/>
      <c r="I42" s="89" t="s">
        <v>645</v>
      </c>
      <c r="J42" s="141"/>
    </row>
    <row r="43" spans="1:8" ht="19.5" customHeight="1" thickBot="1">
      <c r="A43" s="10"/>
      <c r="B43" s="10"/>
      <c r="C43" s="13"/>
      <c r="D43" s="10"/>
      <c r="E43" s="14"/>
      <c r="F43" s="14"/>
      <c r="G43" s="14"/>
      <c r="H43" s="16"/>
    </row>
    <row r="44" spans="1:66" s="33" customFormat="1" ht="39.75" customHeight="1" thickBot="1">
      <c r="A44" s="29" t="s">
        <v>16</v>
      </c>
      <c r="B44" s="28"/>
      <c r="C44" s="155" t="s">
        <v>277</v>
      </c>
      <c r="D44" s="155"/>
      <c r="E44" s="155"/>
      <c r="F44" s="155"/>
      <c r="G44" s="133">
        <f>G45+G55+G61+G83+G106+G134+G151+G156</f>
        <v>805976.68</v>
      </c>
      <c r="H44" s="17"/>
      <c r="I44" s="139"/>
      <c r="J44" s="139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</row>
    <row r="45" spans="1:66" s="33" customFormat="1" ht="19.5" customHeight="1" thickBot="1">
      <c r="A45" s="76" t="s">
        <v>279</v>
      </c>
      <c r="B45" s="77"/>
      <c r="C45" s="78" t="s">
        <v>137</v>
      </c>
      <c r="D45" s="77"/>
      <c r="E45" s="79"/>
      <c r="F45" s="79"/>
      <c r="G45" s="79">
        <f>SUM(G46:G53)</f>
        <v>24102.21</v>
      </c>
      <c r="H45" s="17"/>
      <c r="I45" s="139"/>
      <c r="J45" s="139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</row>
    <row r="46" spans="1:10" s="34" customFormat="1" ht="45" customHeight="1">
      <c r="A46" s="52" t="s">
        <v>325</v>
      </c>
      <c r="B46" s="54" t="s">
        <v>51</v>
      </c>
      <c r="C46" s="55" t="s">
        <v>70</v>
      </c>
      <c r="D46" s="54" t="s">
        <v>32</v>
      </c>
      <c r="E46" s="53">
        <f>ROUND((41.93*0.5*0.3)+(1.3*1.3*0.5*6),2)</f>
        <v>11.36</v>
      </c>
      <c r="F46" s="53">
        <v>55.57</v>
      </c>
      <c r="G46" s="53">
        <f aca="true" t="shared" si="2" ref="G46:G53">ROUND(E46*F46,2)</f>
        <v>631.28</v>
      </c>
      <c r="H46" s="16"/>
      <c r="I46" s="89" t="s">
        <v>288</v>
      </c>
      <c r="J46" s="135"/>
    </row>
    <row r="47" spans="1:10" s="34" customFormat="1" ht="60" customHeight="1">
      <c r="A47" s="52" t="s">
        <v>326</v>
      </c>
      <c r="B47" s="54" t="s">
        <v>43</v>
      </c>
      <c r="C47" s="55" t="s">
        <v>138</v>
      </c>
      <c r="D47" s="54" t="s">
        <v>32</v>
      </c>
      <c r="E47" s="53">
        <f>ROUND(43.93*0.12*0.07,2)</f>
        <v>0.37</v>
      </c>
      <c r="F47" s="53">
        <v>547.41</v>
      </c>
      <c r="G47" s="53">
        <f t="shared" si="2"/>
        <v>202.54</v>
      </c>
      <c r="H47" s="16"/>
      <c r="I47" s="89" t="s">
        <v>278</v>
      </c>
      <c r="J47" s="135"/>
    </row>
    <row r="48" spans="1:10" s="34" customFormat="1" ht="45" customHeight="1">
      <c r="A48" s="52" t="s">
        <v>327</v>
      </c>
      <c r="B48" s="54" t="s">
        <v>45</v>
      </c>
      <c r="C48" s="55" t="s">
        <v>71</v>
      </c>
      <c r="D48" s="54" t="s">
        <v>32</v>
      </c>
      <c r="E48" s="53">
        <f>ROUND(E46*0.3,2)</f>
        <v>3.41</v>
      </c>
      <c r="F48" s="53">
        <v>34.32</v>
      </c>
      <c r="G48" s="53">
        <f t="shared" si="2"/>
        <v>117.03</v>
      </c>
      <c r="H48" s="16"/>
      <c r="I48" s="89" t="s">
        <v>405</v>
      </c>
      <c r="J48" s="135"/>
    </row>
    <row r="49" spans="1:10" s="34" customFormat="1" ht="75" customHeight="1">
      <c r="A49" s="52" t="s">
        <v>328</v>
      </c>
      <c r="B49" s="54" t="s">
        <v>78</v>
      </c>
      <c r="C49" s="55" t="s">
        <v>44</v>
      </c>
      <c r="D49" s="54" t="s">
        <v>32</v>
      </c>
      <c r="E49" s="53">
        <f>ROUND((43.93*0.12*0.3)+(0.8*0.8*0.4*6)+(0.12*0.3*3*6)+(43.93*0.12*0.3),2)</f>
        <v>5.35</v>
      </c>
      <c r="F49" s="53">
        <v>2325.44</v>
      </c>
      <c r="G49" s="53">
        <f t="shared" si="2"/>
        <v>12441.1</v>
      </c>
      <c r="H49" s="16"/>
      <c r="I49" s="89" t="s">
        <v>287</v>
      </c>
      <c r="J49" s="135"/>
    </row>
    <row r="50" spans="1:10" s="34" customFormat="1" ht="75" customHeight="1">
      <c r="A50" s="52" t="s">
        <v>329</v>
      </c>
      <c r="B50" s="54" t="s">
        <v>139</v>
      </c>
      <c r="C50" s="55" t="s">
        <v>140</v>
      </c>
      <c r="D50" s="54" t="s">
        <v>6</v>
      </c>
      <c r="E50" s="53">
        <f>ROUND(5.42*10.45,2)</f>
        <v>56.64</v>
      </c>
      <c r="F50" s="53">
        <v>177.05</v>
      </c>
      <c r="G50" s="53">
        <f t="shared" si="2"/>
        <v>10028.11</v>
      </c>
      <c r="H50" s="16"/>
      <c r="I50" s="89" t="s">
        <v>289</v>
      </c>
      <c r="J50" s="135"/>
    </row>
    <row r="51" spans="1:10" s="34" customFormat="1" ht="30" customHeight="1">
      <c r="A51" s="52" t="s">
        <v>330</v>
      </c>
      <c r="B51" s="54" t="s">
        <v>77</v>
      </c>
      <c r="C51" s="55" t="s">
        <v>141</v>
      </c>
      <c r="D51" s="54" t="s">
        <v>32</v>
      </c>
      <c r="E51" s="53">
        <f>ROUND(3.9*5.15*0.4,2)</f>
        <v>8.03</v>
      </c>
      <c r="F51" s="53">
        <v>16</v>
      </c>
      <c r="G51" s="53">
        <f t="shared" si="2"/>
        <v>128.48</v>
      </c>
      <c r="H51" s="16"/>
      <c r="I51" s="89" t="s">
        <v>297</v>
      </c>
      <c r="J51" s="135"/>
    </row>
    <row r="52" spans="1:10" s="34" customFormat="1" ht="45" customHeight="1">
      <c r="A52" s="52" t="s">
        <v>331</v>
      </c>
      <c r="B52" s="54" t="s">
        <v>66</v>
      </c>
      <c r="C52" s="55" t="s">
        <v>67</v>
      </c>
      <c r="D52" s="54" t="s">
        <v>32</v>
      </c>
      <c r="E52" s="53">
        <f>ROUND(3.9*5.15*0.4,2)</f>
        <v>8.03</v>
      </c>
      <c r="F52" s="53">
        <v>2.73</v>
      </c>
      <c r="G52" s="53">
        <f t="shared" si="2"/>
        <v>21.92</v>
      </c>
      <c r="H52" s="16"/>
      <c r="I52" s="89" t="s">
        <v>297</v>
      </c>
      <c r="J52" s="135"/>
    </row>
    <row r="53" spans="1:10" s="34" customFormat="1" ht="75" customHeight="1">
      <c r="A53" s="52" t="s">
        <v>332</v>
      </c>
      <c r="B53" s="54" t="s">
        <v>42</v>
      </c>
      <c r="C53" s="55" t="s">
        <v>40</v>
      </c>
      <c r="D53" s="54" t="s">
        <v>41</v>
      </c>
      <c r="E53" s="53">
        <f>ROUND(8.03*1.4*1*55,2)</f>
        <v>618.31</v>
      </c>
      <c r="F53" s="53">
        <v>0.86</v>
      </c>
      <c r="G53" s="53">
        <f t="shared" si="2"/>
        <v>531.75</v>
      </c>
      <c r="H53" s="16"/>
      <c r="I53" s="89" t="s">
        <v>298</v>
      </c>
      <c r="J53" s="142"/>
    </row>
    <row r="54" spans="1:8" ht="19.5" customHeight="1" thickBot="1">
      <c r="A54" s="10"/>
      <c r="B54" s="10"/>
      <c r="C54" s="13"/>
      <c r="D54" s="10"/>
      <c r="E54" s="14"/>
      <c r="F54" s="14"/>
      <c r="G54" s="14"/>
      <c r="H54" s="16"/>
    </row>
    <row r="55" spans="1:66" s="33" customFormat="1" ht="19.5" customHeight="1" thickBot="1">
      <c r="A55" s="76" t="s">
        <v>324</v>
      </c>
      <c r="B55" s="77"/>
      <c r="C55" s="78" t="s">
        <v>142</v>
      </c>
      <c r="D55" s="77"/>
      <c r="E55" s="79"/>
      <c r="F55" s="79"/>
      <c r="G55" s="79">
        <f>SUM(G56:G59)</f>
        <v>36236.149999999994</v>
      </c>
      <c r="H55" s="17"/>
      <c r="I55" s="139"/>
      <c r="J55" s="139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</row>
    <row r="56" spans="1:10" s="34" customFormat="1" ht="60" customHeight="1">
      <c r="A56" s="52" t="s">
        <v>333</v>
      </c>
      <c r="B56" s="54" t="s">
        <v>143</v>
      </c>
      <c r="C56" s="55" t="s">
        <v>144</v>
      </c>
      <c r="D56" s="54" t="s">
        <v>6</v>
      </c>
      <c r="E56" s="53">
        <f>ROUND((43.93*3)+(7.24)+(21.1*0.9),2)</f>
        <v>158.02</v>
      </c>
      <c r="F56" s="53">
        <v>67.57</v>
      </c>
      <c r="G56" s="53">
        <f>ROUND(E56*F56,2)</f>
        <v>10677.41</v>
      </c>
      <c r="H56" s="16"/>
      <c r="I56" s="89" t="s">
        <v>758</v>
      </c>
      <c r="J56" s="135"/>
    </row>
    <row r="57" spans="1:10" s="34" customFormat="1" ht="30" customHeight="1">
      <c r="A57" s="52" t="s">
        <v>334</v>
      </c>
      <c r="B57" s="54" t="s">
        <v>145</v>
      </c>
      <c r="C57" s="55" t="s">
        <v>422</v>
      </c>
      <c r="D57" s="54" t="s">
        <v>32</v>
      </c>
      <c r="E57" s="53">
        <f>ROUND((1.2*0.1*0.1*2)+(1.1*0.1*0.1*2)+(1.3*0.1*0.1*2)+(2.5*0.1*0.1*2)+(1.3*0.1*0.1)+(1.3*0.1*0.1),2)</f>
        <v>0.15</v>
      </c>
      <c r="F57" s="53">
        <v>2279.31</v>
      </c>
      <c r="G57" s="53">
        <f>ROUND(E57*F57,2)</f>
        <v>341.9</v>
      </c>
      <c r="H57" s="16"/>
      <c r="I57" s="89" t="s">
        <v>299</v>
      </c>
      <c r="J57" s="135"/>
    </row>
    <row r="58" spans="1:10" s="34" customFormat="1" ht="45" customHeight="1">
      <c r="A58" s="52" t="s">
        <v>335</v>
      </c>
      <c r="B58" s="54" t="s">
        <v>146</v>
      </c>
      <c r="C58" s="55" t="s">
        <v>147</v>
      </c>
      <c r="D58" s="54" t="s">
        <v>6</v>
      </c>
      <c r="E58" s="53">
        <f>ROUND((11.25*1.9*2)+(2*1.9),2)</f>
        <v>46.55</v>
      </c>
      <c r="F58" s="53">
        <v>471.12</v>
      </c>
      <c r="G58" s="53">
        <f>ROUND(E58*F58,2)</f>
        <v>21930.64</v>
      </c>
      <c r="H58" s="16"/>
      <c r="I58" s="89" t="s">
        <v>300</v>
      </c>
      <c r="J58" s="135"/>
    </row>
    <row r="59" spans="1:10" s="34" customFormat="1" ht="75" customHeight="1">
      <c r="A59" s="52" t="s">
        <v>336</v>
      </c>
      <c r="B59" s="54" t="s">
        <v>62</v>
      </c>
      <c r="C59" s="55" t="s">
        <v>61</v>
      </c>
      <c r="D59" s="54" t="s">
        <v>7</v>
      </c>
      <c r="E59" s="53">
        <v>15</v>
      </c>
      <c r="F59" s="53">
        <v>219.08</v>
      </c>
      <c r="G59" s="53">
        <f>ROUND(E59*F59,2)</f>
        <v>3286.2</v>
      </c>
      <c r="H59" s="16"/>
      <c r="I59" s="89" t="s">
        <v>301</v>
      </c>
      <c r="J59" s="135"/>
    </row>
    <row r="60" spans="1:8" ht="19.5" customHeight="1" thickBot="1">
      <c r="A60" s="10"/>
      <c r="B60" s="10"/>
      <c r="C60" s="13"/>
      <c r="D60" s="10"/>
      <c r="E60" s="14"/>
      <c r="F60" s="14"/>
      <c r="G60" s="14"/>
      <c r="H60" s="16"/>
    </row>
    <row r="61" spans="1:66" s="33" customFormat="1" ht="19.5" customHeight="1" thickBot="1">
      <c r="A61" s="76" t="s">
        <v>337</v>
      </c>
      <c r="B61" s="77"/>
      <c r="C61" s="78" t="s">
        <v>308</v>
      </c>
      <c r="D61" s="77"/>
      <c r="E61" s="79"/>
      <c r="F61" s="79"/>
      <c r="G61" s="79">
        <f>SUM(G62:G81)</f>
        <v>481898.09</v>
      </c>
      <c r="H61" s="17"/>
      <c r="I61" s="139"/>
      <c r="J61" s="139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</row>
    <row r="62" spans="1:10" s="34" customFormat="1" ht="60" customHeight="1">
      <c r="A62" s="52" t="s">
        <v>338</v>
      </c>
      <c r="B62" s="54" t="s">
        <v>30</v>
      </c>
      <c r="C62" s="55" t="s">
        <v>148</v>
      </c>
      <c r="D62" s="54" t="s">
        <v>6</v>
      </c>
      <c r="E62" s="53">
        <f>ROUND(((4*10.15)+(3.5*5))*2+(2.15*1.5*2),2)</f>
        <v>122.65</v>
      </c>
      <c r="F62" s="53">
        <v>33.37</v>
      </c>
      <c r="G62" s="53">
        <f>ROUND(E62*F62,2)</f>
        <v>4092.83</v>
      </c>
      <c r="H62" s="16"/>
      <c r="I62" s="89" t="s">
        <v>759</v>
      </c>
      <c r="J62" s="135"/>
    </row>
    <row r="63" spans="1:10" s="34" customFormat="1" ht="30" customHeight="1">
      <c r="A63" s="52" t="s">
        <v>339</v>
      </c>
      <c r="B63" s="54" t="s">
        <v>149</v>
      </c>
      <c r="C63" s="55" t="s">
        <v>150</v>
      </c>
      <c r="D63" s="54" t="s">
        <v>6</v>
      </c>
      <c r="E63" s="53">
        <f>ROUND((55.63*1.1)+(27.74+27.89)+(2*1.1*2)+(4.05*3*2)+(4.25*3),2)</f>
        <v>158.27</v>
      </c>
      <c r="F63" s="53">
        <v>6.15</v>
      </c>
      <c r="G63" s="53">
        <f aca="true" t="shared" si="3" ref="G63:G72">ROUND(E63*F63,2)</f>
        <v>973.36</v>
      </c>
      <c r="H63" s="16"/>
      <c r="I63" s="89" t="s">
        <v>302</v>
      </c>
      <c r="J63" s="132"/>
    </row>
    <row r="64" spans="1:10" s="34" customFormat="1" ht="60" customHeight="1">
      <c r="A64" s="52" t="s">
        <v>340</v>
      </c>
      <c r="B64" s="54" t="s">
        <v>151</v>
      </c>
      <c r="C64" s="55" t="s">
        <v>152</v>
      </c>
      <c r="D64" s="54" t="s">
        <v>6</v>
      </c>
      <c r="E64" s="53">
        <f>E63</f>
        <v>158.27</v>
      </c>
      <c r="F64" s="53">
        <v>29.21</v>
      </c>
      <c r="G64" s="53">
        <f t="shared" si="3"/>
        <v>4623.07</v>
      </c>
      <c r="H64" s="16"/>
      <c r="I64" s="89" t="s">
        <v>302</v>
      </c>
      <c r="J64" s="132"/>
    </row>
    <row r="65" spans="1:10" s="34" customFormat="1" ht="30" customHeight="1">
      <c r="A65" s="52" t="s">
        <v>341</v>
      </c>
      <c r="B65" s="54" t="s">
        <v>153</v>
      </c>
      <c r="C65" s="55" t="s">
        <v>408</v>
      </c>
      <c r="D65" s="54" t="s">
        <v>6</v>
      </c>
      <c r="E65" s="53">
        <f>ROUND((25.86+26.66+26.5+26.5+27.6+24.1+24.1+23.9+24.1+23.8+24+16.64+21.02+20.12+17.23+13.09+12.88+13.4+13.4+46.8)*1.2,2)</f>
        <v>542.04</v>
      </c>
      <c r="F65" s="53">
        <v>110.93</v>
      </c>
      <c r="G65" s="53">
        <f t="shared" si="3"/>
        <v>60128.5</v>
      </c>
      <c r="H65" s="16"/>
      <c r="I65" s="89" t="s">
        <v>415</v>
      </c>
      <c r="J65" s="89"/>
    </row>
    <row r="66" spans="1:10" s="34" customFormat="1" ht="30" customHeight="1">
      <c r="A66" s="52" t="s">
        <v>342</v>
      </c>
      <c r="B66" s="54" t="s">
        <v>412</v>
      </c>
      <c r="C66" s="55" t="s">
        <v>413</v>
      </c>
      <c r="D66" s="54" t="s">
        <v>18</v>
      </c>
      <c r="E66" s="53">
        <f>ROUND((25.1+25.9+25.7+25.7+26.8+23.3+23.3+23.1+23.3+23+23.2+15.85+20.25+19.35+16.5+12.3+12.1+12.6+12.6+42),2)</f>
        <v>431.95</v>
      </c>
      <c r="F66" s="53">
        <v>43.96</v>
      </c>
      <c r="G66" s="53">
        <f t="shared" si="3"/>
        <v>18988.52</v>
      </c>
      <c r="H66" s="16"/>
      <c r="I66" s="89" t="s">
        <v>416</v>
      </c>
      <c r="J66" s="132"/>
    </row>
    <row r="67" spans="1:10" s="34" customFormat="1" ht="30" customHeight="1">
      <c r="A67" s="52" t="s">
        <v>343</v>
      </c>
      <c r="B67" s="54" t="s">
        <v>155</v>
      </c>
      <c r="C67" s="55" t="s">
        <v>156</v>
      </c>
      <c r="D67" s="54" t="s">
        <v>6</v>
      </c>
      <c r="E67" s="53">
        <f>E68+E70</f>
        <v>1380.27</v>
      </c>
      <c r="F67" s="53">
        <v>34.32</v>
      </c>
      <c r="G67" s="53">
        <f t="shared" si="3"/>
        <v>47370.87</v>
      </c>
      <c r="H67" s="16"/>
      <c r="I67" s="89" t="s">
        <v>404</v>
      </c>
      <c r="J67" s="132"/>
    </row>
    <row r="68" spans="1:10" s="34" customFormat="1" ht="75" customHeight="1">
      <c r="A68" s="52" t="s">
        <v>344</v>
      </c>
      <c r="B68" s="54" t="s">
        <v>157</v>
      </c>
      <c r="C68" s="55" t="s">
        <v>158</v>
      </c>
      <c r="D68" s="54" t="s">
        <v>6</v>
      </c>
      <c r="E68" s="53">
        <f>ROUND(88.2+43.04+44.23+43.66+43.66+47.57+35.96+35.96+35.31+35.97+34.61+35.64+25.41+16.3+27.6+25.6+25.6+24.97+18.73+11.16+10.83+11.1+11.1+7.91+3.48+35.31+7.38+15.29+9.9+14.8+112.29+13.95+335.67,2)</f>
        <v>1288.19</v>
      </c>
      <c r="F68" s="53">
        <v>76.75</v>
      </c>
      <c r="G68" s="53">
        <f t="shared" si="3"/>
        <v>98868.58</v>
      </c>
      <c r="H68" s="16"/>
      <c r="I68" s="89" t="s">
        <v>306</v>
      </c>
      <c r="J68" s="132"/>
    </row>
    <row r="69" spans="1:10" s="34" customFormat="1" ht="30" customHeight="1">
      <c r="A69" s="52" t="s">
        <v>345</v>
      </c>
      <c r="B69" s="54" t="s">
        <v>431</v>
      </c>
      <c r="C69" s="55" t="s">
        <v>432</v>
      </c>
      <c r="D69" s="54" t="s">
        <v>18</v>
      </c>
      <c r="E69" s="53">
        <f>ROUND(38.4+25.1+25.8+25.7+25.7+26.8+23.3+23.3+23.1+23.3+23+23.2+20.1+15.85+20.2+19.35+16.45+12.3+12.1+12.6+12.6+24.5+10.1+15.25+12.2+11.4+41.05+13.95+148.6,2)</f>
        <v>725.3</v>
      </c>
      <c r="F69" s="53">
        <v>33.55</v>
      </c>
      <c r="G69" s="53">
        <f>ROUND(E69*F69,2)</f>
        <v>24333.82</v>
      </c>
      <c r="H69" s="16"/>
      <c r="I69" s="89" t="s">
        <v>433</v>
      </c>
      <c r="J69" s="132"/>
    </row>
    <row r="70" spans="1:10" s="34" customFormat="1" ht="45" customHeight="1">
      <c r="A70" s="58" t="s">
        <v>346</v>
      </c>
      <c r="B70" s="54" t="s">
        <v>303</v>
      </c>
      <c r="C70" s="55" t="s">
        <v>304</v>
      </c>
      <c r="D70" s="54" t="s">
        <v>6</v>
      </c>
      <c r="E70" s="53">
        <f>ROUND((115.1*0.8),2)</f>
        <v>92.08</v>
      </c>
      <c r="F70" s="53">
        <v>49.62</v>
      </c>
      <c r="G70" s="53">
        <f>ROUND(E70*F70,2)</f>
        <v>4569.01</v>
      </c>
      <c r="H70" s="16"/>
      <c r="I70" s="89" t="s">
        <v>427</v>
      </c>
      <c r="J70" s="132"/>
    </row>
    <row r="71" spans="1:10" s="34" customFormat="1" ht="105" customHeight="1">
      <c r="A71" s="62" t="s">
        <v>347</v>
      </c>
      <c r="B71" s="54" t="s">
        <v>865</v>
      </c>
      <c r="C71" s="55" t="s">
        <v>866</v>
      </c>
      <c r="D71" s="54" t="s">
        <v>6</v>
      </c>
      <c r="E71" s="53">
        <v>625</v>
      </c>
      <c r="F71" s="53">
        <v>102.83</v>
      </c>
      <c r="G71" s="53">
        <f>ROUND(E71*F71,2)</f>
        <v>64268.75</v>
      </c>
      <c r="H71" s="16"/>
      <c r="I71" s="89"/>
      <c r="J71" s="132"/>
    </row>
    <row r="72" spans="1:10" s="34" customFormat="1" ht="60" customHeight="1">
      <c r="A72" s="62" t="s">
        <v>348</v>
      </c>
      <c r="B72" s="54" t="s">
        <v>159</v>
      </c>
      <c r="C72" s="55" t="s">
        <v>160</v>
      </c>
      <c r="D72" s="54" t="s">
        <v>18</v>
      </c>
      <c r="E72" s="53">
        <f>ROUND((0.8*29)+(0.9*2)+(1.6*2)+(3.5)+(1.2)+(1.35)+(67),2)</f>
        <v>101.25</v>
      </c>
      <c r="F72" s="53">
        <v>66.76</v>
      </c>
      <c r="G72" s="53">
        <f t="shared" si="3"/>
        <v>6759.45</v>
      </c>
      <c r="H72" s="16"/>
      <c r="I72" s="89" t="s">
        <v>429</v>
      </c>
      <c r="J72" s="132"/>
    </row>
    <row r="73" spans="1:10" s="34" customFormat="1" ht="60" customHeight="1">
      <c r="A73" s="62" t="s">
        <v>349</v>
      </c>
      <c r="B73" s="59" t="s">
        <v>161</v>
      </c>
      <c r="C73" s="60" t="s">
        <v>162</v>
      </c>
      <c r="D73" s="59" t="s">
        <v>18</v>
      </c>
      <c r="E73" s="61">
        <f>ROUND((1.9+0.8+1.1+3+3.2+3.2),2)</f>
        <v>13.2</v>
      </c>
      <c r="F73" s="61">
        <v>88.6</v>
      </c>
      <c r="G73" s="61">
        <f aca="true" t="shared" si="4" ref="G73:G81">ROUND(E73*F73,2)</f>
        <v>1169.52</v>
      </c>
      <c r="H73" s="16"/>
      <c r="I73" s="89" t="s">
        <v>430</v>
      </c>
      <c r="J73" s="132"/>
    </row>
    <row r="74" spans="1:13" s="34" customFormat="1" ht="45" customHeight="1">
      <c r="A74" s="62" t="s">
        <v>350</v>
      </c>
      <c r="B74" s="63" t="s">
        <v>208</v>
      </c>
      <c r="C74" s="64" t="s">
        <v>286</v>
      </c>
      <c r="D74" s="63" t="s">
        <v>6</v>
      </c>
      <c r="E74" s="83">
        <f>ROUND(E75+E76+E77,2)</f>
        <v>636.69</v>
      </c>
      <c r="F74" s="83">
        <v>32.56</v>
      </c>
      <c r="G74" s="83">
        <f t="shared" si="4"/>
        <v>20730.63</v>
      </c>
      <c r="H74" s="16"/>
      <c r="I74" s="89" t="s">
        <v>406</v>
      </c>
      <c r="J74" s="132"/>
      <c r="K74" s="82"/>
      <c r="L74" s="82"/>
      <c r="M74" s="82"/>
    </row>
    <row r="75" spans="1:13" s="34" customFormat="1" ht="60" customHeight="1">
      <c r="A75" s="62" t="s">
        <v>351</v>
      </c>
      <c r="B75" s="63" t="s">
        <v>284</v>
      </c>
      <c r="C75" s="64" t="s">
        <v>313</v>
      </c>
      <c r="D75" s="63" t="s">
        <v>6</v>
      </c>
      <c r="E75" s="83">
        <f>ROUND((182.66*0.9*2)+(15.3*0.1)+(16.84*0.1)+(27.89*0.1)+(27.89*0.1)+(7.34*0.1)+(13.18*0.1),2)</f>
        <v>339.63</v>
      </c>
      <c r="F75" s="83">
        <v>96.54</v>
      </c>
      <c r="G75" s="83">
        <f t="shared" si="4"/>
        <v>32787.88</v>
      </c>
      <c r="H75" s="16"/>
      <c r="I75" s="143" t="s">
        <v>318</v>
      </c>
      <c r="J75" s="132"/>
      <c r="K75" s="88"/>
      <c r="L75" s="82"/>
      <c r="M75" s="82"/>
    </row>
    <row r="76" spans="1:13" s="34" customFormat="1" ht="60" customHeight="1">
      <c r="A76" s="62" t="s">
        <v>352</v>
      </c>
      <c r="B76" s="63" t="s">
        <v>284</v>
      </c>
      <c r="C76" s="64" t="s">
        <v>314</v>
      </c>
      <c r="D76" s="63" t="s">
        <v>6</v>
      </c>
      <c r="E76" s="83">
        <f>ROUND((0.5*2*82)+(0.3*2*82)+(166.12*0.9),2)</f>
        <v>280.71</v>
      </c>
      <c r="F76" s="83">
        <v>96.54</v>
      </c>
      <c r="G76" s="83">
        <f t="shared" si="4"/>
        <v>27099.74</v>
      </c>
      <c r="H76" s="16"/>
      <c r="I76" s="143" t="s">
        <v>317</v>
      </c>
      <c r="J76" s="132"/>
      <c r="K76" s="82"/>
      <c r="L76" s="82"/>
      <c r="M76" s="82"/>
    </row>
    <row r="77" spans="1:13" s="34" customFormat="1" ht="60" customHeight="1">
      <c r="A77" s="62" t="s">
        <v>411</v>
      </c>
      <c r="B77" s="63" t="s">
        <v>284</v>
      </c>
      <c r="C77" s="64" t="s">
        <v>315</v>
      </c>
      <c r="D77" s="63" t="s">
        <v>6</v>
      </c>
      <c r="E77" s="83">
        <f>ROUND((11.4)+(4.2*0.75)+(3*0.3*2),2)</f>
        <v>16.35</v>
      </c>
      <c r="F77" s="83">
        <v>96.54</v>
      </c>
      <c r="G77" s="83">
        <f t="shared" si="4"/>
        <v>1578.43</v>
      </c>
      <c r="H77" s="16"/>
      <c r="I77" s="143" t="s">
        <v>316</v>
      </c>
      <c r="J77" s="82"/>
      <c r="K77" s="82"/>
      <c r="L77" s="82"/>
      <c r="M77" s="82"/>
    </row>
    <row r="78" spans="1:13" s="34" customFormat="1" ht="30" customHeight="1">
      <c r="A78" s="62" t="s">
        <v>640</v>
      </c>
      <c r="B78" s="63" t="s">
        <v>766</v>
      </c>
      <c r="C78" s="64" t="s">
        <v>767</v>
      </c>
      <c r="D78" s="63" t="s">
        <v>18</v>
      </c>
      <c r="E78" s="83">
        <f>ROUND(2.25*2,2)</f>
        <v>4.5</v>
      </c>
      <c r="F78" s="21">
        <v>65.1</v>
      </c>
      <c r="G78" s="21">
        <f t="shared" si="4"/>
        <v>292.95</v>
      </c>
      <c r="H78" s="16"/>
      <c r="I78" s="89" t="s">
        <v>768</v>
      </c>
      <c r="J78" s="144"/>
      <c r="K78" s="82"/>
      <c r="L78" s="82"/>
      <c r="M78" s="82"/>
    </row>
    <row r="79" spans="1:13" s="34" customFormat="1" ht="30" customHeight="1">
      <c r="A79" s="62" t="s">
        <v>765</v>
      </c>
      <c r="B79" s="63" t="s">
        <v>770</v>
      </c>
      <c r="C79" s="64" t="s">
        <v>771</v>
      </c>
      <c r="D79" s="63" t="s">
        <v>18</v>
      </c>
      <c r="E79" s="83">
        <f>ROUND(0.3*5,2)</f>
        <v>1.5</v>
      </c>
      <c r="F79" s="21">
        <v>98.93</v>
      </c>
      <c r="G79" s="21">
        <f t="shared" si="4"/>
        <v>148.4</v>
      </c>
      <c r="H79" s="16"/>
      <c r="I79" s="89" t="s">
        <v>772</v>
      </c>
      <c r="J79" s="144"/>
      <c r="K79" s="82"/>
      <c r="L79" s="82"/>
      <c r="M79" s="82"/>
    </row>
    <row r="80" spans="1:13" s="34" customFormat="1" ht="30" customHeight="1">
      <c r="A80" s="62" t="s">
        <v>769</v>
      </c>
      <c r="B80" s="63" t="s">
        <v>773</v>
      </c>
      <c r="C80" s="64" t="s">
        <v>774</v>
      </c>
      <c r="D80" s="63" t="s">
        <v>7</v>
      </c>
      <c r="E80" s="83">
        <v>36</v>
      </c>
      <c r="F80" s="21">
        <v>107.13</v>
      </c>
      <c r="G80" s="21">
        <f t="shared" si="4"/>
        <v>3856.68</v>
      </c>
      <c r="H80" s="16"/>
      <c r="I80" s="89" t="s">
        <v>775</v>
      </c>
      <c r="J80" s="144"/>
      <c r="K80" s="82"/>
      <c r="L80" s="82"/>
      <c r="M80" s="82"/>
    </row>
    <row r="81" spans="1:13" s="34" customFormat="1" ht="60" customHeight="1">
      <c r="A81" s="62" t="s">
        <v>867</v>
      </c>
      <c r="B81" s="63" t="s">
        <v>641</v>
      </c>
      <c r="C81" s="64" t="s">
        <v>642</v>
      </c>
      <c r="D81" s="63" t="s">
        <v>6</v>
      </c>
      <c r="E81" s="83">
        <f>ROUND((88.18+43.04+44.23+43.67+43.67+47.57+35.97+35.97+35.31+35.97+34.98+35.64+322.33),2)</f>
        <v>846.53</v>
      </c>
      <c r="F81" s="21">
        <v>70</v>
      </c>
      <c r="G81" s="21">
        <f t="shared" si="4"/>
        <v>59257.1</v>
      </c>
      <c r="H81" s="16"/>
      <c r="I81" s="89" t="s">
        <v>645</v>
      </c>
      <c r="J81" s="144"/>
      <c r="K81" s="82"/>
      <c r="L81" s="82"/>
      <c r="M81" s="82"/>
    </row>
    <row r="82" spans="1:8" ht="19.5" customHeight="1" thickBot="1">
      <c r="A82" s="10"/>
      <c r="B82" s="10"/>
      <c r="C82" s="13"/>
      <c r="D82" s="10"/>
      <c r="E82" s="14"/>
      <c r="F82" s="14"/>
      <c r="G82" s="14"/>
      <c r="H82" s="16"/>
    </row>
    <row r="83" spans="1:66" s="33" customFormat="1" ht="19.5" customHeight="1" thickBot="1">
      <c r="A83" s="76" t="s">
        <v>353</v>
      </c>
      <c r="B83" s="77"/>
      <c r="C83" s="78" t="s">
        <v>163</v>
      </c>
      <c r="D83" s="77"/>
      <c r="E83" s="79"/>
      <c r="F83" s="79"/>
      <c r="G83" s="79">
        <f>SUM(G84:G104)</f>
        <v>80333.44</v>
      </c>
      <c r="H83" s="17"/>
      <c r="I83" s="139"/>
      <c r="J83" s="139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</row>
    <row r="84" spans="1:10" s="34" customFormat="1" ht="45" customHeight="1">
      <c r="A84" s="52" t="s">
        <v>354</v>
      </c>
      <c r="B84" s="54" t="s">
        <v>199</v>
      </c>
      <c r="C84" s="55" t="s">
        <v>200</v>
      </c>
      <c r="D84" s="54" t="s">
        <v>7</v>
      </c>
      <c r="E84" s="53">
        <v>1</v>
      </c>
      <c r="F84" s="53">
        <v>1559.7</v>
      </c>
      <c r="G84" s="53">
        <f aca="true" t="shared" si="5" ref="G84:G89">ROUND(E84*F84,2)</f>
        <v>1559.7</v>
      </c>
      <c r="H84" s="16"/>
      <c r="I84" s="89" t="s">
        <v>283</v>
      </c>
      <c r="J84" s="135"/>
    </row>
    <row r="85" spans="1:10" s="34" customFormat="1" ht="45" customHeight="1">
      <c r="A85" s="58" t="s">
        <v>438</v>
      </c>
      <c r="B85" s="59" t="s">
        <v>435</v>
      </c>
      <c r="C85" s="60" t="s">
        <v>436</v>
      </c>
      <c r="D85" s="59" t="s">
        <v>6</v>
      </c>
      <c r="E85" s="61">
        <f>ROUND((2*0.6*3)+(1*0.6*4),2)</f>
        <v>6</v>
      </c>
      <c r="F85" s="61">
        <v>823.09</v>
      </c>
      <c r="G85" s="61">
        <f t="shared" si="5"/>
        <v>4938.54</v>
      </c>
      <c r="H85" s="16"/>
      <c r="I85" s="89" t="s">
        <v>437</v>
      </c>
      <c r="J85" s="135"/>
    </row>
    <row r="86" spans="1:10" s="34" customFormat="1" ht="60" customHeight="1">
      <c r="A86" s="62" t="s">
        <v>442</v>
      </c>
      <c r="B86" s="63" t="s">
        <v>439</v>
      </c>
      <c r="C86" s="64" t="s">
        <v>440</v>
      </c>
      <c r="D86" s="63" t="s">
        <v>6</v>
      </c>
      <c r="E86" s="83">
        <f>ROUND((3*1.1),2)</f>
        <v>3.3</v>
      </c>
      <c r="F86" s="83">
        <v>512.44</v>
      </c>
      <c r="G86" s="83">
        <f t="shared" si="5"/>
        <v>1691.05</v>
      </c>
      <c r="H86" s="16"/>
      <c r="I86" s="89" t="s">
        <v>441</v>
      </c>
      <c r="J86" s="135"/>
    </row>
    <row r="87" spans="1:10" s="34" customFormat="1" ht="30" customHeight="1">
      <c r="A87" s="62" t="s">
        <v>449</v>
      </c>
      <c r="B87" s="63" t="s">
        <v>37</v>
      </c>
      <c r="C87" s="64" t="s">
        <v>447</v>
      </c>
      <c r="D87" s="63" t="s">
        <v>6</v>
      </c>
      <c r="E87" s="83">
        <f>ROUND(E85+E86,2)</f>
        <v>9.3</v>
      </c>
      <c r="F87" s="83">
        <v>130.83</v>
      </c>
      <c r="G87" s="83">
        <f t="shared" si="5"/>
        <v>1216.72</v>
      </c>
      <c r="H87" s="16"/>
      <c r="I87" s="89" t="s">
        <v>448</v>
      </c>
      <c r="J87" s="135"/>
    </row>
    <row r="88" spans="1:10" s="34" customFormat="1" ht="30" customHeight="1">
      <c r="A88" s="16" t="s">
        <v>631</v>
      </c>
      <c r="B88" s="57" t="s">
        <v>454</v>
      </c>
      <c r="C88" s="38" t="s">
        <v>455</v>
      </c>
      <c r="D88" s="57" t="s">
        <v>6</v>
      </c>
      <c r="E88" s="83">
        <f>ROUND(18.65*1.3,2)</f>
        <v>24.25</v>
      </c>
      <c r="F88" s="83">
        <v>515</v>
      </c>
      <c r="G88" s="83">
        <f t="shared" si="5"/>
        <v>12488.75</v>
      </c>
      <c r="H88" s="16"/>
      <c r="I88" s="89" t="s">
        <v>760</v>
      </c>
      <c r="J88" s="135"/>
    </row>
    <row r="89" spans="1:10" s="34" customFormat="1" ht="45" customHeight="1">
      <c r="A89" s="16" t="s">
        <v>632</v>
      </c>
      <c r="B89" s="57" t="s">
        <v>752</v>
      </c>
      <c r="C89" s="38" t="s">
        <v>753</v>
      </c>
      <c r="D89" s="57" t="s">
        <v>7</v>
      </c>
      <c r="E89" s="83">
        <v>11</v>
      </c>
      <c r="F89" s="83">
        <v>156.96</v>
      </c>
      <c r="G89" s="83">
        <f t="shared" si="5"/>
        <v>1726.56</v>
      </c>
      <c r="H89" s="16"/>
      <c r="I89" s="89" t="s">
        <v>754</v>
      </c>
      <c r="J89" s="135"/>
    </row>
    <row r="90" spans="1:10" s="34" customFormat="1" ht="90" customHeight="1">
      <c r="A90" s="102" t="s">
        <v>633</v>
      </c>
      <c r="B90" s="103" t="s">
        <v>468</v>
      </c>
      <c r="C90" s="104" t="s">
        <v>469</v>
      </c>
      <c r="D90" s="103" t="s">
        <v>7</v>
      </c>
      <c r="E90" s="105">
        <v>18</v>
      </c>
      <c r="F90" s="105">
        <v>1152.29</v>
      </c>
      <c r="G90" s="105">
        <f aca="true" t="shared" si="6" ref="G90:G104">ROUND(E90*F90,2)</f>
        <v>20741.22</v>
      </c>
      <c r="H90" s="16"/>
      <c r="I90" s="89" t="s">
        <v>518</v>
      </c>
      <c r="J90" s="135"/>
    </row>
    <row r="91" spans="1:10" s="34" customFormat="1" ht="45" customHeight="1">
      <c r="A91" s="102" t="s">
        <v>634</v>
      </c>
      <c r="B91" s="103" t="s">
        <v>471</v>
      </c>
      <c r="C91" s="104" t="s">
        <v>472</v>
      </c>
      <c r="D91" s="103" t="s">
        <v>7</v>
      </c>
      <c r="E91" s="105">
        <v>2</v>
      </c>
      <c r="F91" s="105">
        <v>681.91</v>
      </c>
      <c r="G91" s="105">
        <f t="shared" si="6"/>
        <v>1363.82</v>
      </c>
      <c r="H91" s="16"/>
      <c r="I91" s="89" t="s">
        <v>513</v>
      </c>
      <c r="J91" s="135"/>
    </row>
    <row r="92" spans="1:10" s="34" customFormat="1" ht="45" customHeight="1">
      <c r="A92" s="114" t="s">
        <v>504</v>
      </c>
      <c r="B92" s="103" t="s">
        <v>55</v>
      </c>
      <c r="C92" s="104" t="s">
        <v>480</v>
      </c>
      <c r="D92" s="103" t="s">
        <v>7</v>
      </c>
      <c r="E92" s="105">
        <v>18</v>
      </c>
      <c r="F92" s="105">
        <v>396.21</v>
      </c>
      <c r="G92" s="105">
        <f t="shared" si="6"/>
        <v>7131.78</v>
      </c>
      <c r="H92" s="16"/>
      <c r="I92" s="89" t="s">
        <v>522</v>
      </c>
      <c r="J92" s="135"/>
    </row>
    <row r="93" spans="1:10" s="34" customFormat="1" ht="45" customHeight="1">
      <c r="A93" s="102" t="s">
        <v>505</v>
      </c>
      <c r="B93" s="103" t="s">
        <v>482</v>
      </c>
      <c r="C93" s="104" t="s">
        <v>483</v>
      </c>
      <c r="D93" s="103" t="s">
        <v>7</v>
      </c>
      <c r="E93" s="105">
        <v>2</v>
      </c>
      <c r="F93" s="105">
        <v>464.08</v>
      </c>
      <c r="G93" s="105">
        <f t="shared" si="6"/>
        <v>928.16</v>
      </c>
      <c r="H93" s="16"/>
      <c r="I93" s="89" t="s">
        <v>513</v>
      </c>
      <c r="J93" s="135"/>
    </row>
    <row r="94" spans="1:10" s="34" customFormat="1" ht="30" customHeight="1">
      <c r="A94" s="102" t="s">
        <v>506</v>
      </c>
      <c r="B94" s="103" t="s">
        <v>515</v>
      </c>
      <c r="C94" s="104" t="s">
        <v>516</v>
      </c>
      <c r="D94" s="103" t="s">
        <v>6</v>
      </c>
      <c r="E94" s="105">
        <f>ROUND(0.4*0.9*4,2)</f>
        <v>1.44</v>
      </c>
      <c r="F94" s="105">
        <v>157.36</v>
      </c>
      <c r="G94" s="105">
        <f t="shared" si="6"/>
        <v>226.6</v>
      </c>
      <c r="H94" s="16"/>
      <c r="I94" s="89" t="s">
        <v>517</v>
      </c>
      <c r="J94" s="135"/>
    </row>
    <row r="95" spans="1:10" s="34" customFormat="1" ht="105" customHeight="1">
      <c r="A95" s="102" t="s">
        <v>507</v>
      </c>
      <c r="B95" s="103" t="s">
        <v>474</v>
      </c>
      <c r="C95" s="104" t="s">
        <v>478</v>
      </c>
      <c r="D95" s="103" t="s">
        <v>7</v>
      </c>
      <c r="E95" s="105">
        <v>18</v>
      </c>
      <c r="F95" s="105">
        <v>511.82</v>
      </c>
      <c r="G95" s="105">
        <f t="shared" si="6"/>
        <v>9212.76</v>
      </c>
      <c r="H95" s="16"/>
      <c r="I95" s="89" t="s">
        <v>518</v>
      </c>
      <c r="J95" s="135"/>
    </row>
    <row r="96" spans="1:10" s="34" customFormat="1" ht="75" customHeight="1">
      <c r="A96" s="114" t="s">
        <v>508</v>
      </c>
      <c r="B96" s="107" t="s">
        <v>477</v>
      </c>
      <c r="C96" s="108" t="s">
        <v>479</v>
      </c>
      <c r="D96" s="107" t="s">
        <v>7</v>
      </c>
      <c r="E96" s="109">
        <v>2</v>
      </c>
      <c r="F96" s="109">
        <v>1509.27</v>
      </c>
      <c r="G96" s="109">
        <f t="shared" si="6"/>
        <v>3018.54</v>
      </c>
      <c r="H96" s="16"/>
      <c r="I96" s="89" t="s">
        <v>513</v>
      </c>
      <c r="J96" s="135"/>
    </row>
    <row r="97" spans="1:10" s="34" customFormat="1" ht="90" customHeight="1">
      <c r="A97" s="102" t="s">
        <v>509</v>
      </c>
      <c r="B97" s="111" t="s">
        <v>56</v>
      </c>
      <c r="C97" s="112" t="s">
        <v>485</v>
      </c>
      <c r="D97" s="111" t="s">
        <v>7</v>
      </c>
      <c r="E97" s="113">
        <v>20</v>
      </c>
      <c r="F97" s="113">
        <v>69.05</v>
      </c>
      <c r="G97" s="113">
        <f t="shared" si="6"/>
        <v>1381</v>
      </c>
      <c r="H97" s="16"/>
      <c r="I97" s="89" t="s">
        <v>521</v>
      </c>
      <c r="J97" s="135"/>
    </row>
    <row r="98" spans="1:10" s="34" customFormat="1" ht="60" customHeight="1">
      <c r="A98" s="102" t="s">
        <v>510</v>
      </c>
      <c r="B98" s="111" t="s">
        <v>783</v>
      </c>
      <c r="C98" s="112" t="s">
        <v>784</v>
      </c>
      <c r="D98" s="111" t="s">
        <v>6</v>
      </c>
      <c r="E98" s="113">
        <f>ROUND((3*2.3)+(2.1*1.5),2)</f>
        <v>10.05</v>
      </c>
      <c r="F98" s="113">
        <v>911.94</v>
      </c>
      <c r="G98" s="113">
        <f t="shared" si="6"/>
        <v>9165</v>
      </c>
      <c r="H98" s="16"/>
      <c r="I98" s="89" t="s">
        <v>785</v>
      </c>
      <c r="J98" s="135"/>
    </row>
    <row r="99" spans="1:10" s="34" customFormat="1" ht="30" customHeight="1">
      <c r="A99" s="102" t="s">
        <v>511</v>
      </c>
      <c r="B99" s="111" t="s">
        <v>786</v>
      </c>
      <c r="C99" s="112" t="s">
        <v>787</v>
      </c>
      <c r="D99" s="111" t="s">
        <v>7</v>
      </c>
      <c r="E99" s="113">
        <v>2</v>
      </c>
      <c r="F99" s="113">
        <v>62.8</v>
      </c>
      <c r="G99" s="113">
        <f>ROUND(E99*F99,2)</f>
        <v>125.6</v>
      </c>
      <c r="H99" s="16"/>
      <c r="I99" s="89" t="s">
        <v>788</v>
      </c>
      <c r="J99" s="135"/>
    </row>
    <row r="100" spans="1:10" s="34" customFormat="1" ht="75" customHeight="1">
      <c r="A100" s="102" t="s">
        <v>512</v>
      </c>
      <c r="B100" s="111" t="s">
        <v>488</v>
      </c>
      <c r="C100" s="112" t="s">
        <v>491</v>
      </c>
      <c r="D100" s="111" t="s">
        <v>7</v>
      </c>
      <c r="E100" s="113">
        <v>2</v>
      </c>
      <c r="F100" s="113">
        <v>105.86</v>
      </c>
      <c r="G100" s="113">
        <f t="shared" si="6"/>
        <v>211.72</v>
      </c>
      <c r="H100" s="16"/>
      <c r="I100" s="89" t="s">
        <v>520</v>
      </c>
      <c r="J100" s="135"/>
    </row>
    <row r="101" spans="1:10" s="34" customFormat="1" ht="60" customHeight="1">
      <c r="A101" s="102" t="s">
        <v>763</v>
      </c>
      <c r="B101" s="111" t="s">
        <v>172</v>
      </c>
      <c r="C101" s="112" t="s">
        <v>178</v>
      </c>
      <c r="D101" s="111" t="s">
        <v>7</v>
      </c>
      <c r="E101" s="113">
        <v>4</v>
      </c>
      <c r="F101" s="113">
        <v>160.62</v>
      </c>
      <c r="G101" s="113">
        <f t="shared" si="6"/>
        <v>642.48</v>
      </c>
      <c r="H101" s="16"/>
      <c r="I101" s="89" t="s">
        <v>500</v>
      </c>
      <c r="J101" s="135"/>
    </row>
    <row r="102" spans="1:10" s="34" customFormat="1" ht="60" customHeight="1">
      <c r="A102" s="106" t="s">
        <v>764</v>
      </c>
      <c r="B102" s="111" t="s">
        <v>175</v>
      </c>
      <c r="C102" s="112" t="s">
        <v>176</v>
      </c>
      <c r="D102" s="111" t="s">
        <v>7</v>
      </c>
      <c r="E102" s="113">
        <v>4</v>
      </c>
      <c r="F102" s="113">
        <v>157.03</v>
      </c>
      <c r="G102" s="113">
        <f t="shared" si="6"/>
        <v>628.12</v>
      </c>
      <c r="H102" s="16"/>
      <c r="I102" s="89" t="s">
        <v>519</v>
      </c>
      <c r="J102" s="135"/>
    </row>
    <row r="103" spans="1:10" s="34" customFormat="1" ht="60" customHeight="1">
      <c r="A103" s="110" t="s">
        <v>781</v>
      </c>
      <c r="B103" s="111" t="s">
        <v>492</v>
      </c>
      <c r="C103" s="112" t="s">
        <v>493</v>
      </c>
      <c r="D103" s="111" t="s">
        <v>7</v>
      </c>
      <c r="E103" s="113">
        <v>2</v>
      </c>
      <c r="F103" s="113">
        <v>142.99</v>
      </c>
      <c r="G103" s="113">
        <f t="shared" si="6"/>
        <v>285.98</v>
      </c>
      <c r="H103" s="16"/>
      <c r="I103" s="89" t="s">
        <v>501</v>
      </c>
      <c r="J103" s="135"/>
    </row>
    <row r="104" spans="1:10" s="34" customFormat="1" ht="60" customHeight="1">
      <c r="A104" s="110" t="s">
        <v>782</v>
      </c>
      <c r="B104" s="111" t="s">
        <v>173</v>
      </c>
      <c r="C104" s="112" t="s">
        <v>174</v>
      </c>
      <c r="D104" s="111" t="s">
        <v>7</v>
      </c>
      <c r="E104" s="113">
        <v>2</v>
      </c>
      <c r="F104" s="113">
        <v>824.67</v>
      </c>
      <c r="G104" s="113">
        <f t="shared" si="6"/>
        <v>1649.34</v>
      </c>
      <c r="H104" s="16"/>
      <c r="I104" s="89" t="s">
        <v>503</v>
      </c>
      <c r="J104" s="135"/>
    </row>
    <row r="105" spans="1:8" ht="19.5" customHeight="1" thickBot="1">
      <c r="A105" s="10"/>
      <c r="B105" s="10"/>
      <c r="C105" s="13"/>
      <c r="D105" s="10"/>
      <c r="E105" s="14"/>
      <c r="F105" s="14"/>
      <c r="G105" s="14"/>
      <c r="H105" s="16"/>
    </row>
    <row r="106" spans="1:66" s="33" customFormat="1" ht="19.5" customHeight="1" thickBot="1">
      <c r="A106" s="76" t="s">
        <v>355</v>
      </c>
      <c r="B106" s="77"/>
      <c r="C106" s="78" t="s">
        <v>164</v>
      </c>
      <c r="D106" s="77"/>
      <c r="E106" s="79"/>
      <c r="F106" s="79"/>
      <c r="G106" s="79">
        <f>SUM(G107:G132)</f>
        <v>45015.91</v>
      </c>
      <c r="H106" s="17"/>
      <c r="I106" s="139"/>
      <c r="J106" s="139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</row>
    <row r="107" spans="1:10" s="34" customFormat="1" ht="90" customHeight="1">
      <c r="A107" s="52" t="s">
        <v>570</v>
      </c>
      <c r="B107" s="54" t="s">
        <v>165</v>
      </c>
      <c r="C107" s="55" t="s">
        <v>166</v>
      </c>
      <c r="D107" s="54" t="s">
        <v>7</v>
      </c>
      <c r="E107" s="53">
        <v>17</v>
      </c>
      <c r="F107" s="53">
        <v>275.64</v>
      </c>
      <c r="G107" s="53">
        <f aca="true" t="shared" si="7" ref="G107:G112">ROUND(E107*F107,2)</f>
        <v>4685.88</v>
      </c>
      <c r="H107" s="16"/>
      <c r="I107" s="89" t="s">
        <v>523</v>
      </c>
      <c r="J107" s="135"/>
    </row>
    <row r="108" spans="1:10" s="34" customFormat="1" ht="45" customHeight="1">
      <c r="A108" s="52" t="s">
        <v>571</v>
      </c>
      <c r="B108" s="54" t="s">
        <v>776</v>
      </c>
      <c r="C108" s="55" t="s">
        <v>777</v>
      </c>
      <c r="D108" s="54" t="s">
        <v>7</v>
      </c>
      <c r="E108" s="53">
        <v>17</v>
      </c>
      <c r="F108" s="53">
        <v>496.49</v>
      </c>
      <c r="G108" s="53">
        <f t="shared" si="7"/>
        <v>8440.33</v>
      </c>
      <c r="H108" s="16"/>
      <c r="I108" s="89" t="s">
        <v>523</v>
      </c>
      <c r="J108" s="135"/>
    </row>
    <row r="109" spans="1:10" s="34" customFormat="1" ht="75" customHeight="1">
      <c r="A109" s="52" t="s">
        <v>572</v>
      </c>
      <c r="B109" s="54" t="s">
        <v>68</v>
      </c>
      <c r="C109" s="55" t="s">
        <v>69</v>
      </c>
      <c r="D109" s="54" t="s">
        <v>7</v>
      </c>
      <c r="E109" s="53">
        <v>6</v>
      </c>
      <c r="F109" s="53">
        <v>79.61</v>
      </c>
      <c r="G109" s="53">
        <f t="shared" si="7"/>
        <v>477.66</v>
      </c>
      <c r="H109" s="16"/>
      <c r="I109" s="89" t="s">
        <v>524</v>
      </c>
      <c r="J109" s="135"/>
    </row>
    <row r="110" spans="1:10" s="34" customFormat="1" ht="75" customHeight="1">
      <c r="A110" s="52" t="s">
        <v>573</v>
      </c>
      <c r="B110" s="54" t="s">
        <v>167</v>
      </c>
      <c r="C110" s="55" t="s">
        <v>168</v>
      </c>
      <c r="D110" s="54" t="s">
        <v>7</v>
      </c>
      <c r="E110" s="53">
        <v>13</v>
      </c>
      <c r="F110" s="53">
        <v>257.56</v>
      </c>
      <c r="G110" s="53">
        <f t="shared" si="7"/>
        <v>3348.28</v>
      </c>
      <c r="H110" s="16"/>
      <c r="I110" s="89" t="s">
        <v>525</v>
      </c>
      <c r="J110" s="135"/>
    </row>
    <row r="111" spans="1:10" s="34" customFormat="1" ht="60" customHeight="1">
      <c r="A111" s="52" t="s">
        <v>574</v>
      </c>
      <c r="B111" s="54" t="s">
        <v>169</v>
      </c>
      <c r="C111" s="55" t="s">
        <v>170</v>
      </c>
      <c r="D111" s="54" t="s">
        <v>7</v>
      </c>
      <c r="E111" s="53">
        <f>E110</f>
        <v>13</v>
      </c>
      <c r="F111" s="53">
        <v>259.79</v>
      </c>
      <c r="G111" s="53">
        <f t="shared" si="7"/>
        <v>3377.27</v>
      </c>
      <c r="H111" s="16"/>
      <c r="I111" s="89" t="s">
        <v>525</v>
      </c>
      <c r="J111" s="135"/>
    </row>
    <row r="112" spans="1:10" s="34" customFormat="1" ht="60" customHeight="1">
      <c r="A112" s="52" t="s">
        <v>575</v>
      </c>
      <c r="B112" s="54" t="s">
        <v>526</v>
      </c>
      <c r="C112" s="55" t="s">
        <v>527</v>
      </c>
      <c r="D112" s="54" t="s">
        <v>6</v>
      </c>
      <c r="E112" s="53">
        <v>3.05</v>
      </c>
      <c r="F112" s="53">
        <v>717.1</v>
      </c>
      <c r="G112" s="53">
        <f t="shared" si="7"/>
        <v>2187.16</v>
      </c>
      <c r="H112" s="16"/>
      <c r="I112" s="89" t="s">
        <v>532</v>
      </c>
      <c r="J112" s="135"/>
    </row>
    <row r="113" spans="1:10" s="34" customFormat="1" ht="60" customHeight="1">
      <c r="A113" s="52" t="s">
        <v>576</v>
      </c>
      <c r="B113" s="54" t="s">
        <v>528</v>
      </c>
      <c r="C113" s="55" t="s">
        <v>529</v>
      </c>
      <c r="D113" s="54" t="s">
        <v>6</v>
      </c>
      <c r="E113" s="53">
        <f>ROUND((0.75*0.5*2)+(2*0.5)*2,2)</f>
        <v>2.75</v>
      </c>
      <c r="F113" s="53">
        <v>622.56</v>
      </c>
      <c r="G113" s="53">
        <f aca="true" t="shared" si="8" ref="G113:G118">ROUND(E113*F113,2)</f>
        <v>1712.04</v>
      </c>
      <c r="H113" s="16"/>
      <c r="I113" s="89" t="s">
        <v>533</v>
      </c>
      <c r="J113" s="135"/>
    </row>
    <row r="114" spans="1:10" s="34" customFormat="1" ht="60" customHeight="1">
      <c r="A114" s="52" t="s">
        <v>577</v>
      </c>
      <c r="B114" s="54" t="s">
        <v>530</v>
      </c>
      <c r="C114" s="55" t="s">
        <v>531</v>
      </c>
      <c r="D114" s="54" t="s">
        <v>6</v>
      </c>
      <c r="E114" s="53">
        <f>ROUND(2*0.5,2)</f>
        <v>1</v>
      </c>
      <c r="F114" s="53">
        <v>717.04</v>
      </c>
      <c r="G114" s="53">
        <f t="shared" si="8"/>
        <v>717.04</v>
      </c>
      <c r="H114" s="16"/>
      <c r="I114" s="89" t="s">
        <v>534</v>
      </c>
      <c r="J114" s="135"/>
    </row>
    <row r="115" spans="1:10" s="34" customFormat="1" ht="30" customHeight="1">
      <c r="A115" s="52" t="s">
        <v>578</v>
      </c>
      <c r="B115" s="54" t="s">
        <v>535</v>
      </c>
      <c r="C115" s="55" t="s">
        <v>536</v>
      </c>
      <c r="D115" s="54" t="s">
        <v>18</v>
      </c>
      <c r="E115" s="53">
        <f>ROUND((4.3+4.3+2.5+3),2)</f>
        <v>14.1</v>
      </c>
      <c r="F115" s="53">
        <v>63.57</v>
      </c>
      <c r="G115" s="53">
        <f t="shared" si="8"/>
        <v>896.34</v>
      </c>
      <c r="H115" s="16"/>
      <c r="I115" s="89" t="s">
        <v>537</v>
      </c>
      <c r="J115" s="135"/>
    </row>
    <row r="116" spans="1:10" s="34" customFormat="1" ht="75" customHeight="1">
      <c r="A116" s="52" t="s">
        <v>579</v>
      </c>
      <c r="B116" s="54" t="s">
        <v>183</v>
      </c>
      <c r="C116" s="55" t="s">
        <v>184</v>
      </c>
      <c r="D116" s="54" t="s">
        <v>7</v>
      </c>
      <c r="E116" s="53">
        <v>6</v>
      </c>
      <c r="F116" s="53">
        <v>458.48</v>
      </c>
      <c r="G116" s="53">
        <f t="shared" si="8"/>
        <v>2750.88</v>
      </c>
      <c r="H116" s="16"/>
      <c r="I116" s="89" t="s">
        <v>538</v>
      </c>
      <c r="J116" s="135"/>
    </row>
    <row r="117" spans="1:10" s="34" customFormat="1" ht="45" customHeight="1">
      <c r="A117" s="52" t="s">
        <v>580</v>
      </c>
      <c r="B117" s="54" t="s">
        <v>181</v>
      </c>
      <c r="C117" s="55" t="s">
        <v>182</v>
      </c>
      <c r="D117" s="54" t="s">
        <v>7</v>
      </c>
      <c r="E117" s="53">
        <v>6</v>
      </c>
      <c r="F117" s="53">
        <v>83.17</v>
      </c>
      <c r="G117" s="53">
        <f t="shared" si="8"/>
        <v>499.02</v>
      </c>
      <c r="H117" s="16"/>
      <c r="I117" s="89" t="s">
        <v>539</v>
      </c>
      <c r="J117" s="135"/>
    </row>
    <row r="118" spans="1:10" s="34" customFormat="1" ht="30" customHeight="1">
      <c r="A118" s="52" t="s">
        <v>581</v>
      </c>
      <c r="B118" s="54" t="s">
        <v>179</v>
      </c>
      <c r="C118" s="55" t="s">
        <v>180</v>
      </c>
      <c r="D118" s="54" t="s">
        <v>7</v>
      </c>
      <c r="E118" s="53">
        <v>2</v>
      </c>
      <c r="F118" s="53">
        <v>176.66</v>
      </c>
      <c r="G118" s="53">
        <f t="shared" si="8"/>
        <v>353.32</v>
      </c>
      <c r="H118" s="16"/>
      <c r="I118" s="89" t="s">
        <v>540</v>
      </c>
      <c r="J118" s="135"/>
    </row>
    <row r="119" spans="1:10" s="34" customFormat="1" ht="30" customHeight="1">
      <c r="A119" s="52" t="s">
        <v>582</v>
      </c>
      <c r="B119" s="54" t="s">
        <v>193</v>
      </c>
      <c r="C119" s="55" t="s">
        <v>194</v>
      </c>
      <c r="D119" s="54" t="s">
        <v>7</v>
      </c>
      <c r="E119" s="53">
        <v>4</v>
      </c>
      <c r="F119" s="53">
        <v>41.92</v>
      </c>
      <c r="G119" s="53">
        <f aca="true" t="shared" si="9" ref="G119:G131">ROUND(E119*F119,2)</f>
        <v>167.68</v>
      </c>
      <c r="H119" s="16"/>
      <c r="I119" s="89" t="s">
        <v>541</v>
      </c>
      <c r="J119" s="135"/>
    </row>
    <row r="120" spans="1:10" s="34" customFormat="1" ht="30" customHeight="1">
      <c r="A120" s="52" t="s">
        <v>583</v>
      </c>
      <c r="B120" s="54" t="s">
        <v>195</v>
      </c>
      <c r="C120" s="55" t="s">
        <v>196</v>
      </c>
      <c r="D120" s="54" t="s">
        <v>7</v>
      </c>
      <c r="E120" s="53">
        <v>12</v>
      </c>
      <c r="F120" s="53">
        <v>38.6</v>
      </c>
      <c r="G120" s="53">
        <f t="shared" si="9"/>
        <v>463.2</v>
      </c>
      <c r="H120" s="16"/>
      <c r="I120" s="89" t="s">
        <v>542</v>
      </c>
      <c r="J120" s="135"/>
    </row>
    <row r="121" spans="1:10" s="34" customFormat="1" ht="30" customHeight="1">
      <c r="A121" s="52" t="s">
        <v>635</v>
      </c>
      <c r="B121" s="54" t="s">
        <v>197</v>
      </c>
      <c r="C121" s="55" t="s">
        <v>198</v>
      </c>
      <c r="D121" s="54" t="s">
        <v>7</v>
      </c>
      <c r="E121" s="53">
        <v>17</v>
      </c>
      <c r="F121" s="53">
        <v>34.8</v>
      </c>
      <c r="G121" s="53">
        <f t="shared" si="9"/>
        <v>591.6</v>
      </c>
      <c r="H121" s="16"/>
      <c r="I121" s="89" t="s">
        <v>523</v>
      </c>
      <c r="J121" s="135"/>
    </row>
    <row r="122" spans="1:10" s="34" customFormat="1" ht="30" customHeight="1">
      <c r="A122" s="52" t="s">
        <v>584</v>
      </c>
      <c r="B122" s="54" t="s">
        <v>185</v>
      </c>
      <c r="C122" s="55" t="s">
        <v>186</v>
      </c>
      <c r="D122" s="54" t="s">
        <v>6</v>
      </c>
      <c r="E122" s="53">
        <f>ROUND((3.5*1*2)+(1.5*1*2),2)</f>
        <v>10</v>
      </c>
      <c r="F122" s="53">
        <v>366.6</v>
      </c>
      <c r="G122" s="53">
        <f t="shared" si="9"/>
        <v>3666</v>
      </c>
      <c r="H122" s="16"/>
      <c r="I122" s="89" t="s">
        <v>667</v>
      </c>
      <c r="J122" s="135"/>
    </row>
    <row r="123" spans="1:10" s="34" customFormat="1" ht="45" customHeight="1">
      <c r="A123" s="52" t="s">
        <v>585</v>
      </c>
      <c r="B123" s="54" t="s">
        <v>558</v>
      </c>
      <c r="C123" s="55" t="s">
        <v>559</v>
      </c>
      <c r="D123" s="54" t="s">
        <v>7</v>
      </c>
      <c r="E123" s="53">
        <v>1</v>
      </c>
      <c r="F123" s="53">
        <v>283.8</v>
      </c>
      <c r="G123" s="53">
        <f>ROUND(E123*F123,2)</f>
        <v>283.8</v>
      </c>
      <c r="H123" s="16"/>
      <c r="I123" s="89" t="s">
        <v>566</v>
      </c>
      <c r="J123" s="135"/>
    </row>
    <row r="124" spans="1:10" s="34" customFormat="1" ht="30" customHeight="1">
      <c r="A124" s="52" t="s">
        <v>586</v>
      </c>
      <c r="B124" s="54" t="s">
        <v>560</v>
      </c>
      <c r="C124" s="55" t="s">
        <v>561</v>
      </c>
      <c r="D124" s="54" t="s">
        <v>7</v>
      </c>
      <c r="E124" s="53">
        <v>1</v>
      </c>
      <c r="F124" s="53">
        <v>50.99</v>
      </c>
      <c r="G124" s="53">
        <f>ROUND(E124*F124,2)</f>
        <v>50.99</v>
      </c>
      <c r="H124" s="16"/>
      <c r="I124" s="89" t="s">
        <v>566</v>
      </c>
      <c r="J124" s="135"/>
    </row>
    <row r="125" spans="1:10" s="34" customFormat="1" ht="90" customHeight="1">
      <c r="A125" s="52" t="s">
        <v>587</v>
      </c>
      <c r="B125" s="54" t="s">
        <v>562</v>
      </c>
      <c r="C125" s="55" t="s">
        <v>563</v>
      </c>
      <c r="D125" s="54" t="s">
        <v>7</v>
      </c>
      <c r="E125" s="53">
        <v>1</v>
      </c>
      <c r="F125" s="53">
        <v>2711.12</v>
      </c>
      <c r="G125" s="53">
        <f>ROUND(E125*F125,2)</f>
        <v>2711.12</v>
      </c>
      <c r="H125" s="16"/>
      <c r="I125" s="89" t="s">
        <v>566</v>
      </c>
      <c r="J125" s="135"/>
    </row>
    <row r="126" spans="1:10" s="34" customFormat="1" ht="45" customHeight="1">
      <c r="A126" s="52" t="s">
        <v>588</v>
      </c>
      <c r="B126" s="54" t="s">
        <v>564</v>
      </c>
      <c r="C126" s="55" t="s">
        <v>565</v>
      </c>
      <c r="D126" s="54" t="s">
        <v>7</v>
      </c>
      <c r="E126" s="53">
        <v>1</v>
      </c>
      <c r="F126" s="53">
        <v>287.58</v>
      </c>
      <c r="G126" s="53">
        <f>ROUND(E126*F126,2)</f>
        <v>287.58</v>
      </c>
      <c r="H126" s="16"/>
      <c r="I126" s="89" t="s">
        <v>566</v>
      </c>
      <c r="J126" s="135"/>
    </row>
    <row r="127" spans="1:10" s="34" customFormat="1" ht="90" customHeight="1">
      <c r="A127" s="52" t="s">
        <v>589</v>
      </c>
      <c r="B127" s="54" t="s">
        <v>72</v>
      </c>
      <c r="C127" s="55" t="s">
        <v>201</v>
      </c>
      <c r="D127" s="54" t="s">
        <v>7</v>
      </c>
      <c r="E127" s="53">
        <v>2</v>
      </c>
      <c r="F127" s="53">
        <v>736.18</v>
      </c>
      <c r="G127" s="53">
        <f t="shared" si="9"/>
        <v>1472.36</v>
      </c>
      <c r="H127" s="16"/>
      <c r="I127" s="89" t="s">
        <v>668</v>
      </c>
      <c r="J127" s="135"/>
    </row>
    <row r="128" spans="1:10" s="34" customFormat="1" ht="30" customHeight="1">
      <c r="A128" s="52" t="s">
        <v>590</v>
      </c>
      <c r="B128" s="54" t="s">
        <v>215</v>
      </c>
      <c r="C128" s="55" t="s">
        <v>216</v>
      </c>
      <c r="D128" s="54" t="s">
        <v>6</v>
      </c>
      <c r="E128" s="53">
        <f>ROUND(0.8*0.8,2)</f>
        <v>0.64</v>
      </c>
      <c r="F128" s="53">
        <v>183.19</v>
      </c>
      <c r="G128" s="53">
        <f t="shared" si="9"/>
        <v>117.24</v>
      </c>
      <c r="H128" s="16"/>
      <c r="I128" s="89" t="s">
        <v>545</v>
      </c>
      <c r="J128" s="135"/>
    </row>
    <row r="129" spans="1:10" s="34" customFormat="1" ht="75" customHeight="1">
      <c r="A129" s="52" t="s">
        <v>591</v>
      </c>
      <c r="B129" s="54" t="s">
        <v>187</v>
      </c>
      <c r="C129" s="55" t="s">
        <v>188</v>
      </c>
      <c r="D129" s="54" t="s">
        <v>7</v>
      </c>
      <c r="E129" s="53">
        <v>1</v>
      </c>
      <c r="F129" s="53">
        <v>4429.64</v>
      </c>
      <c r="G129" s="53">
        <f t="shared" si="9"/>
        <v>4429.64</v>
      </c>
      <c r="H129" s="16"/>
      <c r="I129" s="89" t="s">
        <v>544</v>
      </c>
      <c r="J129" s="135"/>
    </row>
    <row r="130" spans="1:10" s="34" customFormat="1" ht="45" customHeight="1">
      <c r="A130" s="52" t="s">
        <v>592</v>
      </c>
      <c r="B130" s="54" t="s">
        <v>189</v>
      </c>
      <c r="C130" s="55" t="s">
        <v>190</v>
      </c>
      <c r="D130" s="54" t="s">
        <v>7</v>
      </c>
      <c r="E130" s="53">
        <v>1</v>
      </c>
      <c r="F130" s="53">
        <v>363.37</v>
      </c>
      <c r="G130" s="53">
        <f t="shared" si="9"/>
        <v>363.37</v>
      </c>
      <c r="H130" s="16"/>
      <c r="I130" s="89" t="s">
        <v>543</v>
      </c>
      <c r="J130" s="135"/>
    </row>
    <row r="131" spans="1:10" s="34" customFormat="1" ht="60" customHeight="1">
      <c r="A131" s="52" t="s">
        <v>593</v>
      </c>
      <c r="B131" s="54" t="s">
        <v>191</v>
      </c>
      <c r="C131" s="55" t="s">
        <v>192</v>
      </c>
      <c r="D131" s="54" t="s">
        <v>7</v>
      </c>
      <c r="E131" s="53">
        <v>1</v>
      </c>
      <c r="F131" s="53">
        <v>645.61</v>
      </c>
      <c r="G131" s="53">
        <f t="shared" si="9"/>
        <v>645.61</v>
      </c>
      <c r="H131" s="16"/>
      <c r="I131" s="89" t="s">
        <v>543</v>
      </c>
      <c r="J131" s="135"/>
    </row>
    <row r="132" spans="1:10" s="34" customFormat="1" ht="30" customHeight="1">
      <c r="A132" s="52" t="s">
        <v>594</v>
      </c>
      <c r="B132" s="54" t="s">
        <v>567</v>
      </c>
      <c r="C132" s="55" t="s">
        <v>568</v>
      </c>
      <c r="D132" s="54" t="s">
        <v>7</v>
      </c>
      <c r="E132" s="53">
        <v>2</v>
      </c>
      <c r="F132" s="53">
        <v>160.25</v>
      </c>
      <c r="G132" s="53">
        <f>ROUND(E132*F132,2)</f>
        <v>320.5</v>
      </c>
      <c r="H132" s="16"/>
      <c r="I132" s="89" t="s">
        <v>540</v>
      </c>
      <c r="J132" s="135"/>
    </row>
    <row r="133" spans="1:8" ht="19.5" customHeight="1" thickBot="1">
      <c r="A133" s="10"/>
      <c r="B133" s="10"/>
      <c r="C133" s="13"/>
      <c r="D133" s="10"/>
      <c r="E133" s="14"/>
      <c r="F133" s="14"/>
      <c r="G133" s="14"/>
      <c r="H133" s="16"/>
    </row>
    <row r="134" spans="1:66" s="33" customFormat="1" ht="19.5" customHeight="1" thickBot="1">
      <c r="A134" s="76" t="s">
        <v>356</v>
      </c>
      <c r="B134" s="77"/>
      <c r="C134" s="78" t="s">
        <v>202</v>
      </c>
      <c r="D134" s="77"/>
      <c r="E134" s="79"/>
      <c r="F134" s="79"/>
      <c r="G134" s="79">
        <f>SUM(G135:G149)</f>
        <v>68200.34</v>
      </c>
      <c r="H134" s="17"/>
      <c r="I134" s="139"/>
      <c r="J134" s="139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</row>
    <row r="135" spans="1:10" s="34" customFormat="1" ht="75" customHeight="1">
      <c r="A135" s="58" t="s">
        <v>595</v>
      </c>
      <c r="B135" s="59" t="s">
        <v>552</v>
      </c>
      <c r="C135" s="60" t="s">
        <v>553</v>
      </c>
      <c r="D135" s="59" t="s">
        <v>7</v>
      </c>
      <c r="E135" s="61">
        <v>17</v>
      </c>
      <c r="F135" s="61">
        <v>317.51</v>
      </c>
      <c r="G135" s="61">
        <f aca="true" t="shared" si="10" ref="G135:G149">ROUND(E135*F135,2)</f>
        <v>5397.67</v>
      </c>
      <c r="H135" s="16"/>
      <c r="I135" s="89" t="s">
        <v>569</v>
      </c>
      <c r="J135" s="89"/>
    </row>
    <row r="136" spans="1:10" s="34" customFormat="1" ht="30" customHeight="1">
      <c r="A136" s="52" t="s">
        <v>596</v>
      </c>
      <c r="B136" s="54" t="s">
        <v>64</v>
      </c>
      <c r="C136" s="55" t="s">
        <v>214</v>
      </c>
      <c r="D136" s="54" t="s">
        <v>7</v>
      </c>
      <c r="E136" s="61">
        <f>ROUND((4*16)+(2*6),2)</f>
        <v>76</v>
      </c>
      <c r="F136" s="61">
        <v>10.9</v>
      </c>
      <c r="G136" s="61">
        <f t="shared" si="10"/>
        <v>828.4</v>
      </c>
      <c r="H136" s="16"/>
      <c r="I136" s="89" t="s">
        <v>623</v>
      </c>
      <c r="J136" s="135"/>
    </row>
    <row r="137" spans="1:10" s="34" customFormat="1" ht="75" customHeight="1">
      <c r="A137" s="65" t="s">
        <v>597</v>
      </c>
      <c r="B137" s="66" t="s">
        <v>224</v>
      </c>
      <c r="C137" s="67" t="s">
        <v>223</v>
      </c>
      <c r="D137" s="66" t="s">
        <v>7</v>
      </c>
      <c r="E137" s="61">
        <v>10</v>
      </c>
      <c r="F137" s="61">
        <v>324.92</v>
      </c>
      <c r="G137" s="61">
        <f t="shared" si="10"/>
        <v>3249.2</v>
      </c>
      <c r="H137" s="16"/>
      <c r="I137" s="89" t="s">
        <v>619</v>
      </c>
      <c r="J137" s="135"/>
    </row>
    <row r="138" spans="1:10" s="34" customFormat="1" ht="75" customHeight="1">
      <c r="A138" s="65" t="s">
        <v>598</v>
      </c>
      <c r="B138" s="66" t="s">
        <v>550</v>
      </c>
      <c r="C138" s="67" t="s">
        <v>551</v>
      </c>
      <c r="D138" s="66" t="s">
        <v>7</v>
      </c>
      <c r="E138" s="61">
        <v>8</v>
      </c>
      <c r="F138" s="61">
        <v>478.89</v>
      </c>
      <c r="G138" s="61">
        <f t="shared" si="10"/>
        <v>3831.12</v>
      </c>
      <c r="H138" s="16"/>
      <c r="I138" s="89" t="s">
        <v>622</v>
      </c>
      <c r="J138" s="135"/>
    </row>
    <row r="139" spans="1:10" s="34" customFormat="1" ht="75" customHeight="1">
      <c r="A139" s="65" t="s">
        <v>599</v>
      </c>
      <c r="B139" s="66" t="s">
        <v>225</v>
      </c>
      <c r="C139" s="67" t="s">
        <v>226</v>
      </c>
      <c r="D139" s="66" t="s">
        <v>7</v>
      </c>
      <c r="E139" s="61">
        <v>7</v>
      </c>
      <c r="F139" s="61">
        <v>800</v>
      </c>
      <c r="G139" s="61">
        <f t="shared" si="10"/>
        <v>5600</v>
      </c>
      <c r="H139" s="16"/>
      <c r="I139" s="89" t="s">
        <v>620</v>
      </c>
      <c r="J139" s="135"/>
    </row>
    <row r="140" spans="1:10" s="34" customFormat="1" ht="75" customHeight="1">
      <c r="A140" s="16" t="s">
        <v>611</v>
      </c>
      <c r="B140" s="66" t="s">
        <v>227</v>
      </c>
      <c r="C140" s="67" t="s">
        <v>228</v>
      </c>
      <c r="D140" s="66" t="s">
        <v>7</v>
      </c>
      <c r="E140" s="61">
        <v>12</v>
      </c>
      <c r="F140" s="61">
        <v>868.38</v>
      </c>
      <c r="G140" s="61">
        <f t="shared" si="10"/>
        <v>10420.56</v>
      </c>
      <c r="H140" s="16"/>
      <c r="I140" s="89" t="s">
        <v>621</v>
      </c>
      <c r="J140" s="135"/>
    </row>
    <row r="141" spans="1:10" s="34" customFormat="1" ht="30" customHeight="1">
      <c r="A141" s="16" t="s">
        <v>600</v>
      </c>
      <c r="B141" s="57" t="s">
        <v>609</v>
      </c>
      <c r="C141" s="38" t="s">
        <v>610</v>
      </c>
      <c r="D141" s="57" t="s">
        <v>7</v>
      </c>
      <c r="E141" s="61">
        <v>6</v>
      </c>
      <c r="F141" s="61">
        <v>14.23</v>
      </c>
      <c r="G141" s="61">
        <f t="shared" si="10"/>
        <v>85.38</v>
      </c>
      <c r="H141" s="16"/>
      <c r="I141" s="89" t="s">
        <v>612</v>
      </c>
      <c r="J141" s="135"/>
    </row>
    <row r="142" spans="1:10" s="34" customFormat="1" ht="45" customHeight="1">
      <c r="A142" s="115" t="s">
        <v>601</v>
      </c>
      <c r="B142" s="116" t="s">
        <v>546</v>
      </c>
      <c r="C142" s="117" t="s">
        <v>547</v>
      </c>
      <c r="D142" s="116" t="s">
        <v>7</v>
      </c>
      <c r="E142" s="118">
        <v>12</v>
      </c>
      <c r="F142" s="118">
        <v>85.05</v>
      </c>
      <c r="G142" s="118">
        <f t="shared" si="10"/>
        <v>1020.6</v>
      </c>
      <c r="H142" s="16"/>
      <c r="I142" s="89" t="s">
        <v>613</v>
      </c>
      <c r="J142" s="135"/>
    </row>
    <row r="143" spans="1:10" s="34" customFormat="1" ht="45" customHeight="1">
      <c r="A143" s="62" t="s">
        <v>602</v>
      </c>
      <c r="B143" s="63" t="s">
        <v>548</v>
      </c>
      <c r="C143" s="64" t="s">
        <v>549</v>
      </c>
      <c r="D143" s="63" t="s">
        <v>7</v>
      </c>
      <c r="E143" s="83">
        <v>140</v>
      </c>
      <c r="F143" s="83">
        <v>124.05</v>
      </c>
      <c r="G143" s="83">
        <f t="shared" si="10"/>
        <v>17367</v>
      </c>
      <c r="H143" s="16"/>
      <c r="I143" s="89" t="s">
        <v>677</v>
      </c>
      <c r="J143" s="135"/>
    </row>
    <row r="144" spans="1:10" s="34" customFormat="1" ht="75" customHeight="1">
      <c r="A144" s="62" t="s">
        <v>603</v>
      </c>
      <c r="B144" s="63" t="s">
        <v>554</v>
      </c>
      <c r="C144" s="64" t="s">
        <v>555</v>
      </c>
      <c r="D144" s="63" t="s">
        <v>7</v>
      </c>
      <c r="E144" s="83">
        <v>10</v>
      </c>
      <c r="F144" s="83">
        <v>1425.85</v>
      </c>
      <c r="G144" s="83">
        <f t="shared" si="10"/>
        <v>14258.5</v>
      </c>
      <c r="H144" s="16"/>
      <c r="I144" s="89" t="s">
        <v>627</v>
      </c>
      <c r="J144" s="135"/>
    </row>
    <row r="145" spans="1:10" s="34" customFormat="1" ht="60" customHeight="1">
      <c r="A145" s="119" t="s">
        <v>604</v>
      </c>
      <c r="B145" s="120" t="s">
        <v>556</v>
      </c>
      <c r="C145" s="121" t="s">
        <v>557</v>
      </c>
      <c r="D145" s="120" t="s">
        <v>18</v>
      </c>
      <c r="E145" s="83">
        <v>20</v>
      </c>
      <c r="F145" s="83">
        <v>225.54</v>
      </c>
      <c r="G145" s="83">
        <f t="shared" si="10"/>
        <v>4510.8</v>
      </c>
      <c r="H145" s="16"/>
      <c r="I145" s="89" t="s">
        <v>618</v>
      </c>
      <c r="J145" s="135"/>
    </row>
    <row r="146" spans="1:10" s="34" customFormat="1" ht="30" customHeight="1">
      <c r="A146" s="52" t="s">
        <v>605</v>
      </c>
      <c r="B146" s="54" t="s">
        <v>73</v>
      </c>
      <c r="C146" s="55" t="s">
        <v>205</v>
      </c>
      <c r="D146" s="54" t="s">
        <v>7</v>
      </c>
      <c r="E146" s="83">
        <v>3</v>
      </c>
      <c r="F146" s="83">
        <v>47.37</v>
      </c>
      <c r="G146" s="83">
        <f t="shared" si="10"/>
        <v>142.11</v>
      </c>
      <c r="H146" s="16"/>
      <c r="I146" s="89" t="s">
        <v>626</v>
      </c>
      <c r="J146" s="135"/>
    </row>
    <row r="147" spans="1:10" s="34" customFormat="1" ht="30" customHeight="1">
      <c r="A147" s="52" t="s">
        <v>606</v>
      </c>
      <c r="B147" s="54" t="s">
        <v>74</v>
      </c>
      <c r="C147" s="55" t="s">
        <v>206</v>
      </c>
      <c r="D147" s="54" t="s">
        <v>7</v>
      </c>
      <c r="E147" s="83">
        <v>3</v>
      </c>
      <c r="F147" s="83">
        <v>28.69</v>
      </c>
      <c r="G147" s="83">
        <f t="shared" si="10"/>
        <v>86.07</v>
      </c>
      <c r="H147" s="16"/>
      <c r="I147" s="89" t="s">
        <v>626</v>
      </c>
      <c r="J147" s="135"/>
    </row>
    <row r="148" spans="1:10" s="34" customFormat="1" ht="30" customHeight="1">
      <c r="A148" s="52" t="s">
        <v>607</v>
      </c>
      <c r="B148" s="54" t="s">
        <v>54</v>
      </c>
      <c r="C148" s="55" t="s">
        <v>207</v>
      </c>
      <c r="D148" s="54" t="s">
        <v>7</v>
      </c>
      <c r="E148" s="83">
        <v>20</v>
      </c>
      <c r="F148" s="83">
        <v>37.1</v>
      </c>
      <c r="G148" s="83">
        <f t="shared" si="10"/>
        <v>742</v>
      </c>
      <c r="H148" s="16"/>
      <c r="I148" s="89" t="s">
        <v>630</v>
      </c>
      <c r="J148" s="135"/>
    </row>
    <row r="149" spans="1:10" s="34" customFormat="1" ht="75" customHeight="1">
      <c r="A149" s="52" t="s">
        <v>608</v>
      </c>
      <c r="B149" s="54" t="s">
        <v>628</v>
      </c>
      <c r="C149" s="55" t="s">
        <v>629</v>
      </c>
      <c r="D149" s="54" t="s">
        <v>7</v>
      </c>
      <c r="E149" s="83">
        <v>1</v>
      </c>
      <c r="F149" s="83">
        <v>660.93</v>
      </c>
      <c r="G149" s="83">
        <f t="shared" si="10"/>
        <v>660.93</v>
      </c>
      <c r="H149" s="16"/>
      <c r="I149" s="89" t="s">
        <v>543</v>
      </c>
      <c r="J149" s="135"/>
    </row>
    <row r="150" spans="1:10" s="34" customFormat="1" ht="19.5" customHeight="1" thickBot="1">
      <c r="A150" s="16"/>
      <c r="B150" s="57"/>
      <c r="C150" s="38"/>
      <c r="D150" s="57"/>
      <c r="E150" s="39"/>
      <c r="F150" s="39"/>
      <c r="G150" s="39"/>
      <c r="H150" s="16"/>
      <c r="I150" s="135"/>
      <c r="J150" s="135"/>
    </row>
    <row r="151" spans="1:66" s="33" customFormat="1" ht="19.5" customHeight="1" thickBot="1">
      <c r="A151" s="76" t="s">
        <v>357</v>
      </c>
      <c r="B151" s="77"/>
      <c r="C151" s="78" t="s">
        <v>796</v>
      </c>
      <c r="D151" s="77"/>
      <c r="E151" s="79"/>
      <c r="F151" s="79"/>
      <c r="G151" s="79">
        <f>SUM(G152:G154)</f>
        <v>3778.57</v>
      </c>
      <c r="H151" s="17"/>
      <c r="I151" s="139"/>
      <c r="J151" s="139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</row>
    <row r="152" spans="1:10" s="34" customFormat="1" ht="60" customHeight="1">
      <c r="A152" s="52" t="s">
        <v>648</v>
      </c>
      <c r="B152" s="54" t="s">
        <v>800</v>
      </c>
      <c r="C152" s="55" t="s">
        <v>801</v>
      </c>
      <c r="D152" s="54" t="s">
        <v>6</v>
      </c>
      <c r="E152" s="61">
        <f>ROUND((5.1*3.2),2)</f>
        <v>16.32</v>
      </c>
      <c r="F152" s="61">
        <v>52.57</v>
      </c>
      <c r="G152" s="61">
        <f>ROUND(E152*F152,2)</f>
        <v>857.94</v>
      </c>
      <c r="H152" s="16"/>
      <c r="I152" s="89" t="s">
        <v>812</v>
      </c>
      <c r="J152" s="74"/>
    </row>
    <row r="153" spans="1:10" s="34" customFormat="1" ht="45" customHeight="1">
      <c r="A153" s="52" t="s">
        <v>649</v>
      </c>
      <c r="B153" s="54" t="s">
        <v>798</v>
      </c>
      <c r="C153" s="55" t="s">
        <v>799</v>
      </c>
      <c r="D153" s="54" t="s">
        <v>6</v>
      </c>
      <c r="E153" s="61">
        <f>ROUND((5.1*3.2),2)</f>
        <v>16.32</v>
      </c>
      <c r="F153" s="61">
        <v>68.04</v>
      </c>
      <c r="G153" s="61">
        <f>ROUND(E153*F153,2)</f>
        <v>1110.41</v>
      </c>
      <c r="H153" s="16"/>
      <c r="I153" s="89" t="s">
        <v>812</v>
      </c>
      <c r="J153" s="74"/>
    </row>
    <row r="154" spans="1:10" s="34" customFormat="1" ht="45" customHeight="1">
      <c r="A154" s="52" t="s">
        <v>650</v>
      </c>
      <c r="B154" s="54" t="s">
        <v>802</v>
      </c>
      <c r="C154" s="55" t="s">
        <v>803</v>
      </c>
      <c r="D154" s="54" t="s">
        <v>18</v>
      </c>
      <c r="E154" s="61">
        <f>ROUND(5.1+3.2+3.2,2)</f>
        <v>11.5</v>
      </c>
      <c r="F154" s="61">
        <v>157.41</v>
      </c>
      <c r="G154" s="61">
        <f>ROUND(E154*F154,2)</f>
        <v>1810.22</v>
      </c>
      <c r="H154" s="16"/>
      <c r="I154" s="89" t="s">
        <v>813</v>
      </c>
      <c r="J154" s="75"/>
    </row>
    <row r="155" spans="1:10" s="34" customFormat="1" ht="19.5" customHeight="1" thickBot="1">
      <c r="A155" s="16"/>
      <c r="B155" s="57"/>
      <c r="C155" s="38"/>
      <c r="D155" s="57"/>
      <c r="E155" s="39"/>
      <c r="F155" s="39"/>
      <c r="G155" s="39"/>
      <c r="H155" s="16"/>
      <c r="I155" s="135"/>
      <c r="J155" s="135"/>
    </row>
    <row r="156" spans="1:66" s="33" customFormat="1" ht="19.5" customHeight="1" thickBot="1">
      <c r="A156" s="76" t="s">
        <v>805</v>
      </c>
      <c r="B156" s="77"/>
      <c r="C156" s="78" t="s">
        <v>21</v>
      </c>
      <c r="D156" s="77"/>
      <c r="E156" s="79"/>
      <c r="F156" s="79"/>
      <c r="G156" s="79">
        <f>SUM(G157:G162)</f>
        <v>66411.97</v>
      </c>
      <c r="H156" s="17"/>
      <c r="I156" s="139"/>
      <c r="J156" s="139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</row>
    <row r="157" spans="1:11" ht="75" customHeight="1">
      <c r="A157" s="125" t="s">
        <v>806</v>
      </c>
      <c r="B157" s="125" t="s">
        <v>52</v>
      </c>
      <c r="C157" s="126" t="s">
        <v>638</v>
      </c>
      <c r="D157" s="125" t="s">
        <v>6</v>
      </c>
      <c r="E157" s="127">
        <f>ROUND((39.4+25.86+26.66+26.5+26.5+27.6+24.1+24.1+23.9+24.1+23.8+24+46.8+21+16.64+20.9+17.23+13.4+13.4+12.88+13.09+399.67)*3+(865.36)+(401.85),2)</f>
        <v>3941.8</v>
      </c>
      <c r="F157" s="39">
        <v>12.65</v>
      </c>
      <c r="G157" s="39">
        <f aca="true" t="shared" si="11" ref="G157:G162">ROUND(E157*F157,2)</f>
        <v>49863.77</v>
      </c>
      <c r="I157" s="89" t="s">
        <v>684</v>
      </c>
      <c r="J157" s="145"/>
      <c r="K157" s="89"/>
    </row>
    <row r="158" spans="1:10" s="34" customFormat="1" ht="75" customHeight="1">
      <c r="A158" s="62" t="s">
        <v>807</v>
      </c>
      <c r="B158" s="63" t="s">
        <v>636</v>
      </c>
      <c r="C158" s="64" t="s">
        <v>637</v>
      </c>
      <c r="D158" s="63" t="s">
        <v>6</v>
      </c>
      <c r="E158" s="127">
        <f>ROUND((27.84+27.84+13.17+7.35)*1.1+(60.39+25.03+25.03+7.9+3.5+24.98),2)</f>
        <v>230.65</v>
      </c>
      <c r="F158" s="83">
        <v>16.61</v>
      </c>
      <c r="G158" s="83">
        <f t="shared" si="11"/>
        <v>3831.1</v>
      </c>
      <c r="H158" s="16"/>
      <c r="I158" s="89" t="s">
        <v>646</v>
      </c>
      <c r="J158" s="89"/>
    </row>
    <row r="159" spans="1:10" s="34" customFormat="1" ht="60" customHeight="1">
      <c r="A159" s="62" t="s">
        <v>808</v>
      </c>
      <c r="B159" s="63" t="s">
        <v>53</v>
      </c>
      <c r="C159" s="64" t="s">
        <v>57</v>
      </c>
      <c r="D159" s="63" t="s">
        <v>6</v>
      </c>
      <c r="E159" s="83">
        <f>ROUND((0.8*2.1*2.5*13)+(0.6*1.5*2.5*7)+(159.93),2)</f>
        <v>230.28</v>
      </c>
      <c r="F159" s="83">
        <v>16.88</v>
      </c>
      <c r="G159" s="83">
        <f t="shared" si="11"/>
        <v>3887.13</v>
      </c>
      <c r="H159" s="16"/>
      <c r="I159" s="89" t="s">
        <v>651</v>
      </c>
      <c r="J159" s="89"/>
    </row>
    <row r="160" spans="1:11" s="34" customFormat="1" ht="60" customHeight="1">
      <c r="A160" s="62" t="s">
        <v>809</v>
      </c>
      <c r="B160" s="62" t="s">
        <v>63</v>
      </c>
      <c r="C160" s="64" t="s">
        <v>60</v>
      </c>
      <c r="D160" s="62" t="s">
        <v>6</v>
      </c>
      <c r="E160" s="83">
        <v>158.95</v>
      </c>
      <c r="F160" s="83">
        <v>45.25</v>
      </c>
      <c r="G160" s="83">
        <f t="shared" si="11"/>
        <v>7192.49</v>
      </c>
      <c r="H160" s="16"/>
      <c r="I160" s="89" t="s">
        <v>647</v>
      </c>
      <c r="J160" s="89"/>
      <c r="K160" s="104"/>
    </row>
    <row r="161" spans="1:11" s="34" customFormat="1" ht="60" customHeight="1">
      <c r="A161" s="62" t="s">
        <v>810</v>
      </c>
      <c r="B161" s="62" t="s">
        <v>59</v>
      </c>
      <c r="C161" s="64" t="s">
        <v>58</v>
      </c>
      <c r="D161" s="62" t="s">
        <v>6</v>
      </c>
      <c r="E161" s="83">
        <v>158.95</v>
      </c>
      <c r="F161" s="83">
        <v>7.86</v>
      </c>
      <c r="G161" s="83">
        <f t="shared" si="11"/>
        <v>1249.35</v>
      </c>
      <c r="H161" s="16"/>
      <c r="I161" s="89" t="s">
        <v>647</v>
      </c>
      <c r="J161" s="89"/>
      <c r="K161" s="104"/>
    </row>
    <row r="162" spans="1:11" s="34" customFormat="1" ht="45" customHeight="1">
      <c r="A162" s="62" t="s">
        <v>811</v>
      </c>
      <c r="B162" s="62" t="s">
        <v>31</v>
      </c>
      <c r="C162" s="64" t="s">
        <v>221</v>
      </c>
      <c r="D162" s="62" t="s">
        <v>6</v>
      </c>
      <c r="E162" s="83">
        <f>ROUND((3*2.3*2)+(2.1*1.5*2),2)</f>
        <v>20.1</v>
      </c>
      <c r="F162" s="83">
        <v>19.31</v>
      </c>
      <c r="G162" s="83">
        <f t="shared" si="11"/>
        <v>388.13</v>
      </c>
      <c r="H162" s="16"/>
      <c r="I162" s="89" t="s">
        <v>789</v>
      </c>
      <c r="J162" s="89"/>
      <c r="K162" s="104"/>
    </row>
    <row r="163" spans="1:10" s="34" customFormat="1" ht="19.5" customHeight="1" thickBot="1">
      <c r="A163" s="16"/>
      <c r="B163" s="57"/>
      <c r="C163" s="38"/>
      <c r="D163" s="57"/>
      <c r="E163" s="39"/>
      <c r="F163" s="39"/>
      <c r="G163" s="39"/>
      <c r="H163" s="16"/>
      <c r="I163" s="135"/>
      <c r="J163" s="135"/>
    </row>
    <row r="164" spans="1:66" s="33" customFormat="1" ht="39.75" customHeight="1" thickBot="1">
      <c r="A164" s="80" t="s">
        <v>17</v>
      </c>
      <c r="B164" s="81"/>
      <c r="C164" s="156" t="s">
        <v>280</v>
      </c>
      <c r="D164" s="156"/>
      <c r="E164" s="156"/>
      <c r="F164" s="156"/>
      <c r="G164" s="134">
        <f>G165+G176+G183+G200+G225+G252+G269+G274+G279</f>
        <v>585709.3699999999</v>
      </c>
      <c r="H164" s="17"/>
      <c r="I164" s="139"/>
      <c r="J164" s="139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</row>
    <row r="165" spans="1:66" s="33" customFormat="1" ht="19.5" customHeight="1" thickBot="1">
      <c r="A165" s="84" t="s">
        <v>323</v>
      </c>
      <c r="B165" s="85"/>
      <c r="C165" s="86" t="s">
        <v>137</v>
      </c>
      <c r="D165" s="85"/>
      <c r="E165" s="87"/>
      <c r="F165" s="87"/>
      <c r="G165" s="87">
        <f>SUM(G166:G174)</f>
        <v>104038.89</v>
      </c>
      <c r="H165" s="17"/>
      <c r="I165" s="139"/>
      <c r="J165" s="139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</row>
    <row r="166" spans="1:10" s="34" customFormat="1" ht="45" customHeight="1">
      <c r="A166" s="52" t="s">
        <v>358</v>
      </c>
      <c r="B166" s="54" t="s">
        <v>51</v>
      </c>
      <c r="C166" s="55" t="s">
        <v>70</v>
      </c>
      <c r="D166" s="54" t="s">
        <v>32</v>
      </c>
      <c r="E166" s="53">
        <f>ROUND((82.7*0.5*0.3)+(1.3*1.3*0.5*18)+(1.3*1.3*0.5*8),2)</f>
        <v>34.38</v>
      </c>
      <c r="F166" s="53">
        <v>55.57</v>
      </c>
      <c r="G166" s="53">
        <f aca="true" t="shared" si="12" ref="G166:G174">ROUND(E166*F166,2)</f>
        <v>1910.5</v>
      </c>
      <c r="H166" s="16"/>
      <c r="I166" s="89" t="s">
        <v>756</v>
      </c>
      <c r="J166" s="135"/>
    </row>
    <row r="167" spans="1:10" s="34" customFormat="1" ht="60" customHeight="1">
      <c r="A167" s="52" t="s">
        <v>359</v>
      </c>
      <c r="B167" s="54" t="s">
        <v>43</v>
      </c>
      <c r="C167" s="55" t="s">
        <v>138</v>
      </c>
      <c r="D167" s="54" t="s">
        <v>32</v>
      </c>
      <c r="E167" s="53">
        <f>ROUND((82.7*0.12*0.07)+(0.8*0.8*0.07*18)+(0.8*0.8*0.07*8),2)</f>
        <v>1.86</v>
      </c>
      <c r="F167" s="53">
        <v>547.41</v>
      </c>
      <c r="G167" s="53">
        <f t="shared" si="12"/>
        <v>1018.18</v>
      </c>
      <c r="H167" s="16"/>
      <c r="I167" s="89" t="s">
        <v>755</v>
      </c>
      <c r="J167" s="135"/>
    </row>
    <row r="168" spans="1:10" s="34" customFormat="1" ht="45" customHeight="1">
      <c r="A168" s="52" t="s">
        <v>360</v>
      </c>
      <c r="B168" s="54" t="s">
        <v>45</v>
      </c>
      <c r="C168" s="55" t="s">
        <v>71</v>
      </c>
      <c r="D168" s="54" t="s">
        <v>32</v>
      </c>
      <c r="E168" s="53">
        <f>ROUND(E166*0.3,2)</f>
        <v>10.31</v>
      </c>
      <c r="F168" s="53">
        <v>34.32</v>
      </c>
      <c r="G168" s="53">
        <f t="shared" si="12"/>
        <v>353.84</v>
      </c>
      <c r="H168" s="16"/>
      <c r="I168" s="89" t="s">
        <v>403</v>
      </c>
      <c r="J168" s="135"/>
    </row>
    <row r="169" spans="1:10" s="34" customFormat="1" ht="75" customHeight="1">
      <c r="A169" s="52" t="s">
        <v>361</v>
      </c>
      <c r="B169" s="54" t="s">
        <v>78</v>
      </c>
      <c r="C169" s="55" t="s">
        <v>44</v>
      </c>
      <c r="D169" s="54" t="s">
        <v>32</v>
      </c>
      <c r="E169" s="53">
        <f>ROUND((82.7*0.12*0.3)+(0.8*0.8*0.4*18)+(0.12*0.3*3*18)+(82.7*0.12*0.3)+(0.12*0.3*1.5*14)+(62*0.12*0.3)+(0.8*0.8*0.4*8)+(0.25*0.25*3*8)+(35.65*0.12*0.3),2)</f>
        <v>20.33</v>
      </c>
      <c r="F169" s="53">
        <v>2325.44</v>
      </c>
      <c r="G169" s="53">
        <f t="shared" si="12"/>
        <v>47276.2</v>
      </c>
      <c r="H169" s="16"/>
      <c r="I169" s="89" t="s">
        <v>751</v>
      </c>
      <c r="J169" s="135"/>
    </row>
    <row r="170" spans="1:10" s="34" customFormat="1" ht="75" customHeight="1">
      <c r="A170" s="52" t="s">
        <v>362</v>
      </c>
      <c r="B170" s="54" t="s">
        <v>139</v>
      </c>
      <c r="C170" s="55" t="s">
        <v>140</v>
      </c>
      <c r="D170" s="54" t="s">
        <v>6</v>
      </c>
      <c r="E170" s="53">
        <v>210</v>
      </c>
      <c r="F170" s="53">
        <v>177.05</v>
      </c>
      <c r="G170" s="53">
        <f t="shared" si="12"/>
        <v>37180.5</v>
      </c>
      <c r="H170" s="16"/>
      <c r="I170" s="89" t="s">
        <v>417</v>
      </c>
      <c r="J170" s="135"/>
    </row>
    <row r="171" spans="1:10" s="34" customFormat="1" ht="75" customHeight="1">
      <c r="A171" s="52" t="s">
        <v>363</v>
      </c>
      <c r="B171" s="54" t="s">
        <v>816</v>
      </c>
      <c r="C171" s="55" t="s">
        <v>817</v>
      </c>
      <c r="D171" s="54" t="s">
        <v>6</v>
      </c>
      <c r="E171" s="53">
        <v>75.8</v>
      </c>
      <c r="F171" s="53">
        <v>161.51</v>
      </c>
      <c r="G171" s="53">
        <f>ROUND(E171*F171,2)</f>
        <v>12242.46</v>
      </c>
      <c r="H171" s="16"/>
      <c r="I171" s="89" t="s">
        <v>815</v>
      </c>
      <c r="J171" s="135"/>
    </row>
    <row r="172" spans="1:10" s="34" customFormat="1" ht="30" customHeight="1">
      <c r="A172" s="52" t="s">
        <v>364</v>
      </c>
      <c r="B172" s="54" t="s">
        <v>77</v>
      </c>
      <c r="C172" s="55" t="s">
        <v>141</v>
      </c>
      <c r="D172" s="54" t="s">
        <v>32</v>
      </c>
      <c r="E172" s="53">
        <f>ROUND((25.44+2.5+48.58+2.5+2.5+5.67+16.1+16.1)*0.4,2)</f>
        <v>47.76</v>
      </c>
      <c r="F172" s="53">
        <v>16</v>
      </c>
      <c r="G172" s="53">
        <f t="shared" si="12"/>
        <v>764.16</v>
      </c>
      <c r="H172" s="16"/>
      <c r="I172" s="89" t="s">
        <v>418</v>
      </c>
      <c r="J172" s="135"/>
    </row>
    <row r="173" spans="1:10" s="34" customFormat="1" ht="45" customHeight="1">
      <c r="A173" s="52" t="s">
        <v>365</v>
      </c>
      <c r="B173" s="54" t="s">
        <v>66</v>
      </c>
      <c r="C173" s="55" t="s">
        <v>67</v>
      </c>
      <c r="D173" s="54" t="s">
        <v>32</v>
      </c>
      <c r="E173" s="53">
        <f>E172</f>
        <v>47.76</v>
      </c>
      <c r="F173" s="53">
        <v>2.73</v>
      </c>
      <c r="G173" s="53">
        <f t="shared" si="12"/>
        <v>130.38</v>
      </c>
      <c r="H173" s="16"/>
      <c r="I173" s="89" t="s">
        <v>419</v>
      </c>
      <c r="J173" s="135"/>
    </row>
    <row r="174" spans="1:10" s="34" customFormat="1" ht="75" customHeight="1">
      <c r="A174" s="52" t="s">
        <v>814</v>
      </c>
      <c r="B174" s="54" t="s">
        <v>42</v>
      </c>
      <c r="C174" s="55" t="s">
        <v>40</v>
      </c>
      <c r="D174" s="54" t="s">
        <v>41</v>
      </c>
      <c r="E174" s="53">
        <f>ROUND(47.76*1.4*1*55,2)</f>
        <v>3677.52</v>
      </c>
      <c r="F174" s="53">
        <v>0.86</v>
      </c>
      <c r="G174" s="53">
        <f t="shared" si="12"/>
        <v>3162.67</v>
      </c>
      <c r="H174" s="16"/>
      <c r="I174" s="89" t="s">
        <v>420</v>
      </c>
      <c r="J174" s="142"/>
    </row>
    <row r="175" spans="1:8" ht="19.5" customHeight="1" thickBot="1">
      <c r="A175" s="10"/>
      <c r="B175" s="10"/>
      <c r="C175" s="13"/>
      <c r="D175" s="10"/>
      <c r="E175" s="14"/>
      <c r="F175" s="14"/>
      <c r="G175" s="14"/>
      <c r="H175" s="16"/>
    </row>
    <row r="176" spans="1:66" s="33" customFormat="1" ht="19.5" customHeight="1" thickBot="1">
      <c r="A176" s="84" t="s">
        <v>366</v>
      </c>
      <c r="B176" s="85"/>
      <c r="C176" s="86" t="s">
        <v>142</v>
      </c>
      <c r="D176" s="85"/>
      <c r="E176" s="87"/>
      <c r="F176" s="87"/>
      <c r="G176" s="87">
        <f>SUM(G177:G181)</f>
        <v>44455.770000000004</v>
      </c>
      <c r="H176" s="17"/>
      <c r="I176" s="139"/>
      <c r="J176" s="139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</row>
    <row r="177" spans="1:10" s="34" customFormat="1" ht="60" customHeight="1">
      <c r="A177" s="52" t="s">
        <v>367</v>
      </c>
      <c r="B177" s="54" t="s">
        <v>143</v>
      </c>
      <c r="C177" s="55" t="s">
        <v>144</v>
      </c>
      <c r="D177" s="54" t="s">
        <v>6</v>
      </c>
      <c r="E177" s="53">
        <f>ROUND((37.19*4.35)+(37.19*1.2*2)+(20.86*4.95)+(20.86*1.8*2),2)</f>
        <v>429.39</v>
      </c>
      <c r="F177" s="53">
        <v>67.57</v>
      </c>
      <c r="G177" s="53">
        <f>ROUND(E177*F177,2)</f>
        <v>29013.88</v>
      </c>
      <c r="H177" s="16"/>
      <c r="I177" s="89" t="s">
        <v>757</v>
      </c>
      <c r="J177" s="135"/>
    </row>
    <row r="178" spans="1:10" s="34" customFormat="1" ht="30" customHeight="1">
      <c r="A178" s="52" t="s">
        <v>368</v>
      </c>
      <c r="B178" s="54" t="s">
        <v>145</v>
      </c>
      <c r="C178" s="55" t="s">
        <v>422</v>
      </c>
      <c r="D178" s="54" t="s">
        <v>32</v>
      </c>
      <c r="E178" s="53">
        <f>ROUND((3.3*0.1*0.1)+(1.1*0.1*0.1*6)+(1.2*0.1*0.1*2)+(3.3*0.1*0.1*2)+(1.3*0.1*0.1*6)+(3.3*0.1*0.1*2)+(2.3*0.1*0.1*2)+(3.4*0.1*0.1)+(3.3*0.1*0.1*4),2)</f>
        <v>0.55</v>
      </c>
      <c r="F178" s="53">
        <v>2279.31</v>
      </c>
      <c r="G178" s="53">
        <f>ROUND(E178*F178,2)</f>
        <v>1253.62</v>
      </c>
      <c r="H178" s="16"/>
      <c r="I178" s="89" t="s">
        <v>421</v>
      </c>
      <c r="J178" s="135"/>
    </row>
    <row r="179" spans="1:10" s="34" customFormat="1" ht="30" customHeight="1">
      <c r="A179" s="52" t="s">
        <v>369</v>
      </c>
      <c r="B179" s="54" t="s">
        <v>262</v>
      </c>
      <c r="C179" s="55" t="s">
        <v>263</v>
      </c>
      <c r="D179" s="54" t="s">
        <v>6</v>
      </c>
      <c r="E179" s="53">
        <f>ROUND(2.8*4.8,2)</f>
        <v>13.44</v>
      </c>
      <c r="F179" s="53">
        <v>173.37</v>
      </c>
      <c r="G179" s="53">
        <f>ROUND(E179*F179,2)</f>
        <v>2330.09</v>
      </c>
      <c r="H179" s="16"/>
      <c r="I179" s="89" t="s">
        <v>410</v>
      </c>
      <c r="J179" s="135"/>
    </row>
    <row r="180" spans="1:10" s="34" customFormat="1" ht="45" customHeight="1">
      <c r="A180" s="52" t="s">
        <v>370</v>
      </c>
      <c r="B180" s="54" t="s">
        <v>146</v>
      </c>
      <c r="C180" s="55" t="s">
        <v>147</v>
      </c>
      <c r="D180" s="54" t="s">
        <v>6</v>
      </c>
      <c r="E180" s="53">
        <f>ROUND((5.4*1.9*2),2)</f>
        <v>20.52</v>
      </c>
      <c r="F180" s="53">
        <v>471.12</v>
      </c>
      <c r="G180" s="53">
        <f>ROUND(E180*F180,2)</f>
        <v>9667.38</v>
      </c>
      <c r="H180" s="16"/>
      <c r="I180" s="89" t="s">
        <v>423</v>
      </c>
      <c r="J180" s="135"/>
    </row>
    <row r="181" spans="1:10" s="34" customFormat="1" ht="75" customHeight="1">
      <c r="A181" s="52" t="s">
        <v>371</v>
      </c>
      <c r="B181" s="54" t="s">
        <v>62</v>
      </c>
      <c r="C181" s="55" t="s">
        <v>61</v>
      </c>
      <c r="D181" s="54" t="s">
        <v>7</v>
      </c>
      <c r="E181" s="53">
        <v>10</v>
      </c>
      <c r="F181" s="53">
        <v>219.08</v>
      </c>
      <c r="G181" s="53">
        <f>ROUND(E181*F181,2)</f>
        <v>2190.8</v>
      </c>
      <c r="H181" s="16"/>
      <c r="I181" s="89" t="s">
        <v>424</v>
      </c>
      <c r="J181" s="135"/>
    </row>
    <row r="182" spans="1:8" ht="19.5" customHeight="1" thickBot="1">
      <c r="A182" s="10"/>
      <c r="B182" s="10"/>
      <c r="C182" s="13"/>
      <c r="D182" s="10"/>
      <c r="E182" s="14"/>
      <c r="F182" s="14"/>
      <c r="G182" s="14"/>
      <c r="H182" s="16"/>
    </row>
    <row r="183" spans="1:66" s="33" customFormat="1" ht="19.5" customHeight="1" thickBot="1">
      <c r="A183" s="84" t="s">
        <v>372</v>
      </c>
      <c r="B183" s="85"/>
      <c r="C183" s="86" t="s">
        <v>308</v>
      </c>
      <c r="D183" s="85"/>
      <c r="E183" s="87"/>
      <c r="F183" s="87"/>
      <c r="G183" s="87">
        <f>SUM(G184:G198)</f>
        <v>90056.91</v>
      </c>
      <c r="H183" s="17"/>
      <c r="I183" s="139"/>
      <c r="J183" s="139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</row>
    <row r="184" spans="1:10" s="34" customFormat="1" ht="60" customHeight="1">
      <c r="A184" s="52" t="s">
        <v>373</v>
      </c>
      <c r="B184" s="54" t="s">
        <v>30</v>
      </c>
      <c r="C184" s="55" t="s">
        <v>148</v>
      </c>
      <c r="D184" s="54" t="s">
        <v>6</v>
      </c>
      <c r="E184" s="53">
        <f>ROUND((37.19*4.35)+(37.19*1.2*2)+(20.86*4.95)+(20.86*1.8*2),2)</f>
        <v>429.39</v>
      </c>
      <c r="F184" s="53">
        <v>33.37</v>
      </c>
      <c r="G184" s="53">
        <f>ROUND(E184*F184,2)</f>
        <v>14328.74</v>
      </c>
      <c r="H184" s="16"/>
      <c r="I184" s="89" t="s">
        <v>757</v>
      </c>
      <c r="J184" s="135"/>
    </row>
    <row r="185" spans="1:10" s="34" customFormat="1" ht="30" customHeight="1">
      <c r="A185" s="52" t="s">
        <v>374</v>
      </c>
      <c r="B185" s="54" t="s">
        <v>149</v>
      </c>
      <c r="C185" s="55" t="s">
        <v>150</v>
      </c>
      <c r="D185" s="54" t="s">
        <v>6</v>
      </c>
      <c r="E185" s="53">
        <f>ROUND((24.58*1.8)+(42.16*1.8)+(9.78*3)+(24.57+2.5+48.58+2.5+2.5+5.67+16.2+16.2),2)</f>
        <v>268.19</v>
      </c>
      <c r="F185" s="53">
        <v>6.15</v>
      </c>
      <c r="G185" s="53">
        <f aca="true" t="shared" si="13" ref="G185:G194">ROUND(E185*F185,2)</f>
        <v>1649.37</v>
      </c>
      <c r="H185" s="16"/>
      <c r="I185" s="89" t="s">
        <v>425</v>
      </c>
      <c r="J185" s="148"/>
    </row>
    <row r="186" spans="1:10" s="34" customFormat="1" ht="60" customHeight="1">
      <c r="A186" s="52" t="s">
        <v>375</v>
      </c>
      <c r="B186" s="54" t="s">
        <v>151</v>
      </c>
      <c r="C186" s="55" t="s">
        <v>152</v>
      </c>
      <c r="D186" s="54" t="s">
        <v>6</v>
      </c>
      <c r="E186" s="53">
        <f>E185</f>
        <v>268.19</v>
      </c>
      <c r="F186" s="53">
        <v>29.21</v>
      </c>
      <c r="G186" s="53">
        <f t="shared" si="13"/>
        <v>7833.83</v>
      </c>
      <c r="H186" s="16"/>
      <c r="I186" s="89" t="s">
        <v>425</v>
      </c>
      <c r="J186" s="148"/>
    </row>
    <row r="187" spans="1:10" s="34" customFormat="1" ht="30" customHeight="1">
      <c r="A187" s="52" t="s">
        <v>376</v>
      </c>
      <c r="B187" s="54" t="s">
        <v>153</v>
      </c>
      <c r="C187" s="55" t="s">
        <v>408</v>
      </c>
      <c r="D187" s="54" t="s">
        <v>6</v>
      </c>
      <c r="E187" s="53">
        <f>ROUND((6.4*3)+(6.4*3)+(6.4*3)+(16.2*1.8)+(16.2*1.8)+(24.58*1.2)+(42.16*1.2),2)</f>
        <v>196.01</v>
      </c>
      <c r="F187" s="53">
        <v>110.93</v>
      </c>
      <c r="G187" s="53">
        <f t="shared" si="13"/>
        <v>21743.39</v>
      </c>
      <c r="H187" s="16"/>
      <c r="I187" s="89" t="s">
        <v>409</v>
      </c>
      <c r="J187" s="146"/>
    </row>
    <row r="188" spans="1:10" s="34" customFormat="1" ht="30" customHeight="1">
      <c r="A188" s="52" t="s">
        <v>377</v>
      </c>
      <c r="B188" s="54" t="s">
        <v>412</v>
      </c>
      <c r="C188" s="55" t="s">
        <v>413</v>
      </c>
      <c r="D188" s="54" t="s">
        <v>18</v>
      </c>
      <c r="E188" s="53">
        <f>ROUND((23)+(36.5),2)</f>
        <v>59.5</v>
      </c>
      <c r="F188" s="53">
        <v>43.96</v>
      </c>
      <c r="G188" s="53">
        <f>ROUND(E188*F188,2)</f>
        <v>2615.62</v>
      </c>
      <c r="H188" s="16"/>
      <c r="I188" s="89" t="s">
        <v>414</v>
      </c>
      <c r="J188" s="146"/>
    </row>
    <row r="189" spans="1:10" s="34" customFormat="1" ht="60" customHeight="1">
      <c r="A189" s="52" t="s">
        <v>378</v>
      </c>
      <c r="B189" s="54" t="s">
        <v>43</v>
      </c>
      <c r="C189" s="55" t="s">
        <v>154</v>
      </c>
      <c r="D189" s="54" t="s">
        <v>32</v>
      </c>
      <c r="E189" s="53">
        <f>ROUND(E190*0.05,2)</f>
        <v>12.84</v>
      </c>
      <c r="F189" s="53">
        <v>547.41</v>
      </c>
      <c r="G189" s="53">
        <f t="shared" si="13"/>
        <v>7028.74</v>
      </c>
      <c r="H189" s="16"/>
      <c r="I189" s="89" t="s">
        <v>310</v>
      </c>
      <c r="J189" s="135"/>
    </row>
    <row r="190" spans="1:10" s="34" customFormat="1" ht="30" customHeight="1">
      <c r="A190" s="52" t="s">
        <v>379</v>
      </c>
      <c r="B190" s="54" t="s">
        <v>155</v>
      </c>
      <c r="C190" s="55" t="s">
        <v>156</v>
      </c>
      <c r="D190" s="54" t="s">
        <v>6</v>
      </c>
      <c r="E190" s="53">
        <f>E191+E193</f>
        <v>256.83</v>
      </c>
      <c r="F190" s="53">
        <v>34.32</v>
      </c>
      <c r="G190" s="53">
        <f t="shared" si="13"/>
        <v>8814.41</v>
      </c>
      <c r="H190" s="16"/>
      <c r="I190" s="89" t="s">
        <v>307</v>
      </c>
      <c r="J190" s="135"/>
    </row>
    <row r="191" spans="1:10" s="34" customFormat="1" ht="75" customHeight="1">
      <c r="A191" s="52" t="s">
        <v>380</v>
      </c>
      <c r="B191" s="54" t="s">
        <v>157</v>
      </c>
      <c r="C191" s="55" t="s">
        <v>158</v>
      </c>
      <c r="D191" s="54" t="s">
        <v>6</v>
      </c>
      <c r="E191" s="53">
        <f>ROUND(25.44+2.5+48.58+2.5+2.5+5.67+16.1+16.1,2)</f>
        <v>119.39</v>
      </c>
      <c r="F191" s="53">
        <v>76.75</v>
      </c>
      <c r="G191" s="53">
        <f t="shared" si="13"/>
        <v>9163.18</v>
      </c>
      <c r="H191" s="16"/>
      <c r="I191" s="89" t="s">
        <v>309</v>
      </c>
      <c r="J191" s="135"/>
    </row>
    <row r="192" spans="1:10" s="34" customFormat="1" ht="30" customHeight="1">
      <c r="A192" s="52" t="s">
        <v>381</v>
      </c>
      <c r="B192" s="54" t="s">
        <v>431</v>
      </c>
      <c r="C192" s="55" t="s">
        <v>432</v>
      </c>
      <c r="D192" s="54" t="s">
        <v>18</v>
      </c>
      <c r="E192" s="53">
        <f>ROUND(36.45+23+9,2)</f>
        <v>68.45</v>
      </c>
      <c r="F192" s="53">
        <v>33.55</v>
      </c>
      <c r="G192" s="53">
        <f t="shared" si="13"/>
        <v>2296.5</v>
      </c>
      <c r="H192" s="16"/>
      <c r="I192" s="89" t="s">
        <v>434</v>
      </c>
      <c r="J192" s="135"/>
    </row>
    <row r="193" spans="1:10" s="34" customFormat="1" ht="45" customHeight="1">
      <c r="A193" s="58" t="s">
        <v>382</v>
      </c>
      <c r="B193" s="54" t="s">
        <v>303</v>
      </c>
      <c r="C193" s="55" t="s">
        <v>304</v>
      </c>
      <c r="D193" s="54" t="s">
        <v>6</v>
      </c>
      <c r="E193" s="53">
        <v>137.44</v>
      </c>
      <c r="F193" s="53">
        <v>49.62</v>
      </c>
      <c r="G193" s="53">
        <f t="shared" si="13"/>
        <v>6819.77</v>
      </c>
      <c r="H193" s="16"/>
      <c r="I193" s="89" t="s">
        <v>428</v>
      </c>
      <c r="J193" s="135"/>
    </row>
    <row r="194" spans="1:10" s="34" customFormat="1" ht="60" customHeight="1">
      <c r="A194" s="62" t="s">
        <v>383</v>
      </c>
      <c r="B194" s="54" t="s">
        <v>159</v>
      </c>
      <c r="C194" s="55" t="s">
        <v>160</v>
      </c>
      <c r="D194" s="54" t="s">
        <v>18</v>
      </c>
      <c r="E194" s="53">
        <f>ROUND((0.8*6)+(1.7)+(0.9*2),2)</f>
        <v>8.3</v>
      </c>
      <c r="F194" s="53">
        <v>66.76</v>
      </c>
      <c r="G194" s="53">
        <f t="shared" si="13"/>
        <v>554.11</v>
      </c>
      <c r="H194" s="16"/>
      <c r="I194" s="89" t="s">
        <v>426</v>
      </c>
      <c r="J194" s="135"/>
    </row>
    <row r="195" spans="1:10" s="34" customFormat="1" ht="60" customHeight="1">
      <c r="A195" s="62" t="s">
        <v>384</v>
      </c>
      <c r="B195" s="59" t="s">
        <v>161</v>
      </c>
      <c r="C195" s="60" t="s">
        <v>162</v>
      </c>
      <c r="D195" s="59" t="s">
        <v>18</v>
      </c>
      <c r="E195" s="61">
        <f>ROUND((3)+(1*3)+(3)+(2)+(3.1)+(3*2),2)</f>
        <v>20.1</v>
      </c>
      <c r="F195" s="61">
        <v>88.6</v>
      </c>
      <c r="G195" s="61">
        <f>ROUND(E195*F195,2)</f>
        <v>1780.86</v>
      </c>
      <c r="H195" s="16"/>
      <c r="I195" s="89" t="s">
        <v>311</v>
      </c>
      <c r="J195" s="135"/>
    </row>
    <row r="196" spans="1:13" s="34" customFormat="1" ht="45" customHeight="1">
      <c r="A196" s="62" t="s">
        <v>385</v>
      </c>
      <c r="B196" s="63" t="s">
        <v>208</v>
      </c>
      <c r="C196" s="64" t="s">
        <v>286</v>
      </c>
      <c r="D196" s="63" t="s">
        <v>6</v>
      </c>
      <c r="E196" s="83">
        <f>E197</f>
        <v>4.21</v>
      </c>
      <c r="F196" s="83">
        <v>32.56</v>
      </c>
      <c r="G196" s="83">
        <f>ROUND(E196*F196,2)</f>
        <v>137.08</v>
      </c>
      <c r="H196" s="16"/>
      <c r="I196" s="89" t="s">
        <v>407</v>
      </c>
      <c r="J196" s="82"/>
      <c r="K196" s="82"/>
      <c r="L196" s="82"/>
      <c r="M196" s="82"/>
    </row>
    <row r="197" spans="1:13" s="34" customFormat="1" ht="60" customHeight="1">
      <c r="A197" s="62" t="s">
        <v>386</v>
      </c>
      <c r="B197" s="63" t="s">
        <v>284</v>
      </c>
      <c r="C197" s="64" t="s">
        <v>285</v>
      </c>
      <c r="D197" s="63" t="s">
        <v>6</v>
      </c>
      <c r="E197" s="83">
        <f>ROUND(21.06*0.1*2,2)</f>
        <v>4.21</v>
      </c>
      <c r="F197" s="83">
        <v>96.54</v>
      </c>
      <c r="G197" s="83">
        <f>ROUND(E197*F197,2)</f>
        <v>406.43</v>
      </c>
      <c r="H197" s="16"/>
      <c r="I197" s="143" t="s">
        <v>312</v>
      </c>
      <c r="J197" s="82"/>
      <c r="K197" s="82"/>
      <c r="L197" s="82"/>
      <c r="M197" s="82"/>
    </row>
    <row r="198" spans="1:13" s="34" customFormat="1" ht="90" customHeight="1">
      <c r="A198" s="16" t="s">
        <v>792</v>
      </c>
      <c r="B198" s="57" t="s">
        <v>794</v>
      </c>
      <c r="C198" s="38" t="s">
        <v>795</v>
      </c>
      <c r="D198" s="57" t="s">
        <v>6</v>
      </c>
      <c r="E198" s="39">
        <f>ROUND(8*5.5,2)</f>
        <v>44</v>
      </c>
      <c r="F198" s="39">
        <v>111.02</v>
      </c>
      <c r="G198" s="39">
        <f>ROUND(E198*F198,2)</f>
        <v>4884.88</v>
      </c>
      <c r="H198" s="16"/>
      <c r="I198" s="89" t="s">
        <v>793</v>
      </c>
      <c r="J198" s="82"/>
      <c r="K198" s="82"/>
      <c r="L198" s="82"/>
      <c r="M198" s="82"/>
    </row>
    <row r="199" spans="1:8" ht="19.5" customHeight="1" thickBot="1">
      <c r="A199" s="10"/>
      <c r="B199" s="10"/>
      <c r="C199" s="13"/>
      <c r="D199" s="10"/>
      <c r="E199" s="14"/>
      <c r="F199" s="14"/>
      <c r="G199" s="14"/>
      <c r="H199" s="16"/>
    </row>
    <row r="200" spans="1:66" s="33" customFormat="1" ht="19.5" customHeight="1" thickBot="1">
      <c r="A200" s="84" t="s">
        <v>387</v>
      </c>
      <c r="B200" s="85"/>
      <c r="C200" s="86" t="s">
        <v>163</v>
      </c>
      <c r="D200" s="85"/>
      <c r="E200" s="87"/>
      <c r="F200" s="87"/>
      <c r="G200" s="87">
        <f>SUM(G201:G223)</f>
        <v>41135.200000000004</v>
      </c>
      <c r="H200" s="17"/>
      <c r="I200" s="139"/>
      <c r="J200" s="139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</row>
    <row r="201" spans="1:10" s="34" customFormat="1" ht="45" customHeight="1">
      <c r="A201" s="52" t="s">
        <v>388</v>
      </c>
      <c r="B201" s="59" t="s">
        <v>435</v>
      </c>
      <c r="C201" s="60" t="s">
        <v>436</v>
      </c>
      <c r="D201" s="59" t="s">
        <v>6</v>
      </c>
      <c r="E201" s="61">
        <f>ROUND((1*0.6*3)+(3*0.6*2),2)</f>
        <v>5.4</v>
      </c>
      <c r="F201" s="61">
        <v>823.09</v>
      </c>
      <c r="G201" s="61">
        <f aca="true" t="shared" si="14" ref="G201:G208">ROUND(E201*F201,2)</f>
        <v>4444.69</v>
      </c>
      <c r="H201" s="16"/>
      <c r="I201" s="89" t="s">
        <v>445</v>
      </c>
      <c r="J201" s="135"/>
    </row>
    <row r="202" spans="1:10" s="34" customFormat="1" ht="60" customHeight="1">
      <c r="A202" s="58" t="s">
        <v>389</v>
      </c>
      <c r="B202" s="63" t="s">
        <v>439</v>
      </c>
      <c r="C202" s="64" t="s">
        <v>440</v>
      </c>
      <c r="D202" s="63" t="s">
        <v>6</v>
      </c>
      <c r="E202" s="83">
        <f>ROUND((3*1.1*2)+(2*1.1),2)</f>
        <v>8.8</v>
      </c>
      <c r="F202" s="83">
        <v>512.44</v>
      </c>
      <c r="G202" s="83">
        <f t="shared" si="14"/>
        <v>4509.47</v>
      </c>
      <c r="H202" s="16"/>
      <c r="I202" s="89" t="s">
        <v>446</v>
      </c>
      <c r="J202" s="135"/>
    </row>
    <row r="203" spans="1:10" s="34" customFormat="1" ht="30" customHeight="1">
      <c r="A203" s="62" t="s">
        <v>390</v>
      </c>
      <c r="B203" s="91" t="s">
        <v>37</v>
      </c>
      <c r="C203" s="92" t="s">
        <v>447</v>
      </c>
      <c r="D203" s="91" t="s">
        <v>6</v>
      </c>
      <c r="E203" s="93">
        <f>ROUND(E201+E202,2)</f>
        <v>14.2</v>
      </c>
      <c r="F203" s="93">
        <v>130.83</v>
      </c>
      <c r="G203" s="93">
        <f t="shared" si="14"/>
        <v>1857.79</v>
      </c>
      <c r="H203" s="16"/>
      <c r="I203" s="89" t="s">
        <v>450</v>
      </c>
      <c r="J203" s="135"/>
    </row>
    <row r="204" spans="1:10" s="34" customFormat="1" ht="30" customHeight="1">
      <c r="A204" s="90" t="s">
        <v>391</v>
      </c>
      <c r="B204" s="95" t="s">
        <v>451</v>
      </c>
      <c r="C204" s="96" t="s">
        <v>452</v>
      </c>
      <c r="D204" s="95" t="s">
        <v>6</v>
      </c>
      <c r="E204" s="97">
        <f>ROUND((3.1*2.55)+((3*2.55)-(1.7*2.1)),2)</f>
        <v>11.99</v>
      </c>
      <c r="F204" s="97">
        <v>309</v>
      </c>
      <c r="G204" s="97">
        <f t="shared" si="14"/>
        <v>3704.91</v>
      </c>
      <c r="H204" s="16"/>
      <c r="I204" s="89" t="s">
        <v>453</v>
      </c>
      <c r="J204" s="89"/>
    </row>
    <row r="205" spans="1:10" s="34" customFormat="1" ht="30" customHeight="1">
      <c r="A205" s="94" t="s">
        <v>392</v>
      </c>
      <c r="B205" s="99" t="s">
        <v>454</v>
      </c>
      <c r="C205" s="100" t="s">
        <v>455</v>
      </c>
      <c r="D205" s="99" t="s">
        <v>6</v>
      </c>
      <c r="E205" s="101">
        <f>ROUND((1.7*2.1),2)</f>
        <v>3.57</v>
      </c>
      <c r="F205" s="101">
        <v>515</v>
      </c>
      <c r="G205" s="101">
        <f t="shared" si="14"/>
        <v>1838.55</v>
      </c>
      <c r="H205" s="16"/>
      <c r="I205" s="89" t="s">
        <v>761</v>
      </c>
      <c r="J205" s="89"/>
    </row>
    <row r="206" spans="1:10" s="34" customFormat="1" ht="45" customHeight="1">
      <c r="A206" s="129" t="s">
        <v>393</v>
      </c>
      <c r="B206" s="130" t="s">
        <v>752</v>
      </c>
      <c r="C206" s="131" t="s">
        <v>753</v>
      </c>
      <c r="D206" s="130" t="s">
        <v>7</v>
      </c>
      <c r="E206" s="101">
        <v>2</v>
      </c>
      <c r="F206" s="101">
        <v>156.96</v>
      </c>
      <c r="G206" s="101">
        <f>ROUND(E206*F206,2)</f>
        <v>313.92</v>
      </c>
      <c r="H206" s="16"/>
      <c r="I206" s="89" t="s">
        <v>762</v>
      </c>
      <c r="J206" s="89"/>
    </row>
    <row r="207" spans="1:10" s="34" customFormat="1" ht="75" customHeight="1">
      <c r="A207" s="98" t="s">
        <v>458</v>
      </c>
      <c r="B207" s="103" t="s">
        <v>456</v>
      </c>
      <c r="C207" s="104" t="s">
        <v>457</v>
      </c>
      <c r="D207" s="103" t="s">
        <v>7</v>
      </c>
      <c r="E207" s="105">
        <v>1</v>
      </c>
      <c r="F207" s="105">
        <v>1093.87</v>
      </c>
      <c r="G207" s="105">
        <f t="shared" si="14"/>
        <v>1093.87</v>
      </c>
      <c r="H207" s="16"/>
      <c r="I207" s="89" t="s">
        <v>462</v>
      </c>
      <c r="J207" s="135"/>
    </row>
    <row r="208" spans="1:10" s="34" customFormat="1" ht="30" customHeight="1">
      <c r="A208" s="102" t="s">
        <v>459</v>
      </c>
      <c r="B208" s="103" t="s">
        <v>460</v>
      </c>
      <c r="C208" s="104" t="s">
        <v>461</v>
      </c>
      <c r="D208" s="103" t="s">
        <v>7</v>
      </c>
      <c r="E208" s="105">
        <v>2</v>
      </c>
      <c r="F208" s="105">
        <v>301.71</v>
      </c>
      <c r="G208" s="105">
        <f t="shared" si="14"/>
        <v>603.42</v>
      </c>
      <c r="H208" s="16"/>
      <c r="I208" s="89" t="s">
        <v>463</v>
      </c>
      <c r="J208" s="135"/>
    </row>
    <row r="209" spans="1:10" s="34" customFormat="1" ht="90" customHeight="1">
      <c r="A209" s="102" t="s">
        <v>464</v>
      </c>
      <c r="B209" s="103" t="s">
        <v>468</v>
      </c>
      <c r="C209" s="104" t="s">
        <v>469</v>
      </c>
      <c r="D209" s="103" t="s">
        <v>7</v>
      </c>
      <c r="E209" s="105">
        <v>2</v>
      </c>
      <c r="F209" s="105">
        <v>1152.29</v>
      </c>
      <c r="G209" s="105">
        <f aca="true" t="shared" si="15" ref="G209:G216">ROUND(E209*F209,2)</f>
        <v>2304.58</v>
      </c>
      <c r="H209" s="16"/>
      <c r="I209" s="89" t="s">
        <v>854</v>
      </c>
      <c r="J209" s="135"/>
    </row>
    <row r="210" spans="1:10" s="34" customFormat="1" ht="45" customHeight="1">
      <c r="A210" s="102" t="s">
        <v>465</v>
      </c>
      <c r="B210" s="103" t="s">
        <v>852</v>
      </c>
      <c r="C210" s="104" t="s">
        <v>853</v>
      </c>
      <c r="D210" s="103" t="s">
        <v>7</v>
      </c>
      <c r="E210" s="105">
        <v>4</v>
      </c>
      <c r="F210" s="105">
        <v>648.27</v>
      </c>
      <c r="G210" s="105">
        <f>ROUND(E210*F210,2)</f>
        <v>2593.08</v>
      </c>
      <c r="H210" s="16"/>
      <c r="I210" s="89" t="s">
        <v>855</v>
      </c>
      <c r="J210" s="135"/>
    </row>
    <row r="211" spans="1:10" s="34" customFormat="1" ht="45" customHeight="1">
      <c r="A211" s="102" t="s">
        <v>466</v>
      </c>
      <c r="B211" s="103" t="s">
        <v>471</v>
      </c>
      <c r="C211" s="104" t="s">
        <v>472</v>
      </c>
      <c r="D211" s="103" t="s">
        <v>7</v>
      </c>
      <c r="E211" s="105">
        <v>2</v>
      </c>
      <c r="F211" s="105">
        <v>681.91</v>
      </c>
      <c r="G211" s="105">
        <f t="shared" si="15"/>
        <v>1363.82</v>
      </c>
      <c r="H211" s="16"/>
      <c r="I211" s="89" t="s">
        <v>473</v>
      </c>
      <c r="J211" s="135"/>
    </row>
    <row r="212" spans="1:10" s="34" customFormat="1" ht="45" customHeight="1">
      <c r="A212" s="102" t="s">
        <v>467</v>
      </c>
      <c r="B212" s="103" t="s">
        <v>55</v>
      </c>
      <c r="C212" s="104" t="s">
        <v>480</v>
      </c>
      <c r="D212" s="103" t="s">
        <v>7</v>
      </c>
      <c r="E212" s="105">
        <v>6</v>
      </c>
      <c r="F212" s="105">
        <v>396.21</v>
      </c>
      <c r="G212" s="105">
        <f>ROUND(E212*F212,2)</f>
        <v>2377.26</v>
      </c>
      <c r="H212" s="16"/>
      <c r="I212" s="89" t="s">
        <v>481</v>
      </c>
      <c r="J212" s="135"/>
    </row>
    <row r="213" spans="1:10" s="34" customFormat="1" ht="45" customHeight="1">
      <c r="A213" s="102" t="s">
        <v>475</v>
      </c>
      <c r="B213" s="103" t="s">
        <v>482</v>
      </c>
      <c r="C213" s="104" t="s">
        <v>483</v>
      </c>
      <c r="D213" s="103" t="s">
        <v>7</v>
      </c>
      <c r="E213" s="105">
        <v>4</v>
      </c>
      <c r="F213" s="105">
        <v>464.08</v>
      </c>
      <c r="G213" s="105">
        <f>ROUND(E213*F213,2)</f>
        <v>1856.32</v>
      </c>
      <c r="H213" s="16"/>
      <c r="I213" s="89" t="s">
        <v>484</v>
      </c>
      <c r="J213" s="135"/>
    </row>
    <row r="214" spans="1:10" s="34" customFormat="1" ht="30" customHeight="1">
      <c r="A214" s="102" t="s">
        <v>476</v>
      </c>
      <c r="B214" s="103" t="s">
        <v>515</v>
      </c>
      <c r="C214" s="104" t="s">
        <v>516</v>
      </c>
      <c r="D214" s="103" t="s">
        <v>6</v>
      </c>
      <c r="E214" s="105">
        <f>ROUND(0.4*0.9*6,2)</f>
        <v>2.16</v>
      </c>
      <c r="F214" s="105">
        <v>157.36</v>
      </c>
      <c r="G214" s="105">
        <f>ROUND(E214*F214,2)</f>
        <v>339.9</v>
      </c>
      <c r="H214" s="16"/>
      <c r="I214" s="89" t="s">
        <v>514</v>
      </c>
      <c r="J214" s="135"/>
    </row>
    <row r="215" spans="1:10" s="34" customFormat="1" ht="90" customHeight="1">
      <c r="A215" s="106" t="s">
        <v>487</v>
      </c>
      <c r="B215" s="103" t="s">
        <v>474</v>
      </c>
      <c r="C215" s="104" t="s">
        <v>478</v>
      </c>
      <c r="D215" s="103" t="s">
        <v>7</v>
      </c>
      <c r="E215" s="105">
        <v>6</v>
      </c>
      <c r="F215" s="105">
        <v>511.82</v>
      </c>
      <c r="G215" s="105">
        <f t="shared" si="15"/>
        <v>3070.92</v>
      </c>
      <c r="H215" s="16"/>
      <c r="I215" s="89" t="s">
        <v>470</v>
      </c>
      <c r="J215" s="135"/>
    </row>
    <row r="216" spans="1:10" s="34" customFormat="1" ht="75" customHeight="1">
      <c r="A216" s="110" t="s">
        <v>487</v>
      </c>
      <c r="B216" s="107" t="s">
        <v>477</v>
      </c>
      <c r="C216" s="108" t="s">
        <v>479</v>
      </c>
      <c r="D216" s="107" t="s">
        <v>7</v>
      </c>
      <c r="E216" s="109">
        <v>2</v>
      </c>
      <c r="F216" s="109">
        <v>1509.27</v>
      </c>
      <c r="G216" s="109">
        <f t="shared" si="15"/>
        <v>3018.54</v>
      </c>
      <c r="H216" s="16"/>
      <c r="I216" s="89" t="s">
        <v>473</v>
      </c>
      <c r="J216" s="135"/>
    </row>
    <row r="217" spans="1:10" s="34" customFormat="1" ht="90" customHeight="1">
      <c r="A217" s="110" t="s">
        <v>489</v>
      </c>
      <c r="B217" s="111" t="s">
        <v>56</v>
      </c>
      <c r="C217" s="112" t="s">
        <v>485</v>
      </c>
      <c r="D217" s="111" t="s">
        <v>7</v>
      </c>
      <c r="E217" s="113">
        <v>10</v>
      </c>
      <c r="F217" s="113">
        <v>69.05</v>
      </c>
      <c r="G217" s="113">
        <f aca="true" t="shared" si="16" ref="G217:G223">ROUND(E217*F217,2)</f>
        <v>690.5</v>
      </c>
      <c r="H217" s="16"/>
      <c r="I217" s="89" t="s">
        <v>486</v>
      </c>
      <c r="J217" s="135"/>
    </row>
    <row r="218" spans="1:10" s="34" customFormat="1" ht="75" customHeight="1">
      <c r="A218" s="110" t="s">
        <v>494</v>
      </c>
      <c r="B218" s="111" t="s">
        <v>488</v>
      </c>
      <c r="C218" s="112" t="s">
        <v>491</v>
      </c>
      <c r="D218" s="111" t="s">
        <v>7</v>
      </c>
      <c r="E218" s="113">
        <v>10</v>
      </c>
      <c r="F218" s="113">
        <v>105.86</v>
      </c>
      <c r="G218" s="113">
        <f t="shared" si="16"/>
        <v>1058.6</v>
      </c>
      <c r="H218" s="16"/>
      <c r="I218" s="89" t="s">
        <v>490</v>
      </c>
      <c r="J218" s="135"/>
    </row>
    <row r="219" spans="1:10" s="34" customFormat="1" ht="60" customHeight="1">
      <c r="A219" s="110" t="s">
        <v>495</v>
      </c>
      <c r="B219" s="111" t="s">
        <v>172</v>
      </c>
      <c r="C219" s="112" t="s">
        <v>178</v>
      </c>
      <c r="D219" s="111" t="s">
        <v>7</v>
      </c>
      <c r="E219" s="113">
        <v>4</v>
      </c>
      <c r="F219" s="113">
        <v>160.62</v>
      </c>
      <c r="G219" s="113">
        <f t="shared" si="16"/>
        <v>642.48</v>
      </c>
      <c r="H219" s="16"/>
      <c r="I219" s="89" t="s">
        <v>500</v>
      </c>
      <c r="J219" s="135"/>
    </row>
    <row r="220" spans="1:10" s="34" customFormat="1" ht="60" customHeight="1">
      <c r="A220" s="110" t="s">
        <v>496</v>
      </c>
      <c r="B220" s="111" t="s">
        <v>175</v>
      </c>
      <c r="C220" s="112" t="s">
        <v>176</v>
      </c>
      <c r="D220" s="111" t="s">
        <v>7</v>
      </c>
      <c r="E220" s="113">
        <v>6</v>
      </c>
      <c r="F220" s="113">
        <v>157.03</v>
      </c>
      <c r="G220" s="113">
        <f t="shared" si="16"/>
        <v>942.18</v>
      </c>
      <c r="H220" s="16"/>
      <c r="I220" s="89" t="s">
        <v>502</v>
      </c>
      <c r="J220" s="135"/>
    </row>
    <row r="221" spans="1:10" s="34" customFormat="1" ht="60" customHeight="1">
      <c r="A221" s="110" t="s">
        <v>497</v>
      </c>
      <c r="B221" s="111" t="s">
        <v>492</v>
      </c>
      <c r="C221" s="112" t="s">
        <v>493</v>
      </c>
      <c r="D221" s="111" t="s">
        <v>7</v>
      </c>
      <c r="E221" s="113">
        <v>2</v>
      </c>
      <c r="F221" s="113">
        <v>142.99</v>
      </c>
      <c r="G221" s="113">
        <f t="shared" si="16"/>
        <v>285.98</v>
      </c>
      <c r="H221" s="16"/>
      <c r="I221" s="89" t="s">
        <v>501</v>
      </c>
      <c r="J221" s="135"/>
    </row>
    <row r="222" spans="1:10" s="34" customFormat="1" ht="60" customHeight="1">
      <c r="A222" s="110" t="s">
        <v>498</v>
      </c>
      <c r="B222" s="111" t="s">
        <v>171</v>
      </c>
      <c r="C222" s="112" t="s">
        <v>177</v>
      </c>
      <c r="D222" s="111" t="s">
        <v>7</v>
      </c>
      <c r="E222" s="113">
        <v>4</v>
      </c>
      <c r="F222" s="113">
        <v>143.77</v>
      </c>
      <c r="G222" s="113">
        <f t="shared" si="16"/>
        <v>575.08</v>
      </c>
      <c r="H222" s="16"/>
      <c r="I222" s="89" t="s">
        <v>499</v>
      </c>
      <c r="J222" s="135"/>
    </row>
    <row r="223" spans="1:10" s="34" customFormat="1" ht="60" customHeight="1">
      <c r="A223" s="110" t="s">
        <v>851</v>
      </c>
      <c r="B223" s="111" t="s">
        <v>173</v>
      </c>
      <c r="C223" s="112" t="s">
        <v>174</v>
      </c>
      <c r="D223" s="111" t="s">
        <v>7</v>
      </c>
      <c r="E223" s="113">
        <v>2</v>
      </c>
      <c r="F223" s="113">
        <v>824.67</v>
      </c>
      <c r="G223" s="113">
        <f t="shared" si="16"/>
        <v>1649.34</v>
      </c>
      <c r="H223" s="16"/>
      <c r="I223" s="89" t="s">
        <v>503</v>
      </c>
      <c r="J223" s="135"/>
    </row>
    <row r="224" spans="1:8" ht="19.5" customHeight="1" thickBot="1">
      <c r="A224" s="10"/>
      <c r="B224" s="10"/>
      <c r="C224" s="13"/>
      <c r="D224" s="10"/>
      <c r="E224" s="14"/>
      <c r="F224" s="14"/>
      <c r="G224" s="14"/>
      <c r="H224" s="16"/>
    </row>
    <row r="225" spans="1:66" s="33" customFormat="1" ht="19.5" customHeight="1" thickBot="1">
      <c r="A225" s="84" t="s">
        <v>394</v>
      </c>
      <c r="B225" s="85"/>
      <c r="C225" s="86" t="s">
        <v>164</v>
      </c>
      <c r="D225" s="85"/>
      <c r="E225" s="87"/>
      <c r="F225" s="87"/>
      <c r="G225" s="87">
        <f>SUM(G226:G250)</f>
        <v>32492.059999999998</v>
      </c>
      <c r="H225" s="17"/>
      <c r="I225" s="139"/>
      <c r="J225" s="139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</row>
    <row r="226" spans="1:10" s="34" customFormat="1" ht="90" customHeight="1">
      <c r="A226" s="52" t="s">
        <v>395</v>
      </c>
      <c r="B226" s="54" t="s">
        <v>653</v>
      </c>
      <c r="C226" s="55" t="s">
        <v>654</v>
      </c>
      <c r="D226" s="54" t="s">
        <v>7</v>
      </c>
      <c r="E226" s="53">
        <v>3</v>
      </c>
      <c r="F226" s="53">
        <v>311.59</v>
      </c>
      <c r="G226" s="53">
        <f>ROUND(E226*F226,2)</f>
        <v>934.77</v>
      </c>
      <c r="H226" s="16"/>
      <c r="I226" s="89" t="s">
        <v>655</v>
      </c>
      <c r="J226" s="135"/>
    </row>
    <row r="227" spans="1:10" s="34" customFormat="1" ht="90" customHeight="1">
      <c r="A227" s="52" t="s">
        <v>396</v>
      </c>
      <c r="B227" s="54" t="s">
        <v>165</v>
      </c>
      <c r="C227" s="55" t="s">
        <v>166</v>
      </c>
      <c r="D227" s="54" t="s">
        <v>7</v>
      </c>
      <c r="E227" s="53">
        <v>8</v>
      </c>
      <c r="F227" s="53">
        <v>275.64</v>
      </c>
      <c r="G227" s="53">
        <f aca="true" t="shared" si="17" ref="G227:G241">ROUND(E227*F227,2)</f>
        <v>2205.12</v>
      </c>
      <c r="H227" s="16"/>
      <c r="I227" s="89" t="s">
        <v>656</v>
      </c>
      <c r="J227" s="135"/>
    </row>
    <row r="228" spans="1:10" s="34" customFormat="1" ht="45" customHeight="1">
      <c r="A228" s="52" t="s">
        <v>397</v>
      </c>
      <c r="B228" s="54" t="s">
        <v>776</v>
      </c>
      <c r="C228" s="55" t="s">
        <v>777</v>
      </c>
      <c r="D228" s="54" t="s">
        <v>7</v>
      </c>
      <c r="E228" s="53">
        <v>11</v>
      </c>
      <c r="F228" s="53">
        <v>496.49</v>
      </c>
      <c r="G228" s="53">
        <f t="shared" si="17"/>
        <v>5461.39</v>
      </c>
      <c r="H228" s="16"/>
      <c r="I228" s="89" t="s">
        <v>657</v>
      </c>
      <c r="J228" s="135"/>
    </row>
    <row r="229" spans="1:10" s="34" customFormat="1" ht="75" customHeight="1">
      <c r="A229" s="52" t="s">
        <v>398</v>
      </c>
      <c r="B229" s="54" t="s">
        <v>68</v>
      </c>
      <c r="C229" s="55" t="s">
        <v>69</v>
      </c>
      <c r="D229" s="54" t="s">
        <v>7</v>
      </c>
      <c r="E229" s="53">
        <v>5</v>
      </c>
      <c r="F229" s="53">
        <v>79.61</v>
      </c>
      <c r="G229" s="53">
        <f t="shared" si="17"/>
        <v>398.05</v>
      </c>
      <c r="H229" s="16"/>
      <c r="I229" s="89" t="s">
        <v>658</v>
      </c>
      <c r="J229" s="135"/>
    </row>
    <row r="230" spans="1:10" s="34" customFormat="1" ht="75" customHeight="1">
      <c r="A230" s="52" t="s">
        <v>399</v>
      </c>
      <c r="B230" s="54" t="s">
        <v>167</v>
      </c>
      <c r="C230" s="55" t="s">
        <v>168</v>
      </c>
      <c r="D230" s="54" t="s">
        <v>7</v>
      </c>
      <c r="E230" s="53">
        <v>9</v>
      </c>
      <c r="F230" s="53">
        <v>257.56</v>
      </c>
      <c r="G230" s="53">
        <f t="shared" si="17"/>
        <v>2318.04</v>
      </c>
      <c r="H230" s="16"/>
      <c r="I230" s="89" t="s">
        <v>659</v>
      </c>
      <c r="J230" s="135"/>
    </row>
    <row r="231" spans="1:10" s="34" customFormat="1" ht="60" customHeight="1">
      <c r="A231" s="52" t="s">
        <v>400</v>
      </c>
      <c r="B231" s="54" t="s">
        <v>169</v>
      </c>
      <c r="C231" s="55" t="s">
        <v>170</v>
      </c>
      <c r="D231" s="54" t="s">
        <v>7</v>
      </c>
      <c r="E231" s="53">
        <f>E230</f>
        <v>9</v>
      </c>
      <c r="F231" s="53">
        <v>259.79</v>
      </c>
      <c r="G231" s="53">
        <f t="shared" si="17"/>
        <v>2338.11</v>
      </c>
      <c r="H231" s="16"/>
      <c r="I231" s="89" t="s">
        <v>660</v>
      </c>
      <c r="J231" s="135"/>
    </row>
    <row r="232" spans="1:10" s="34" customFormat="1" ht="75" customHeight="1">
      <c r="A232" s="52" t="s">
        <v>401</v>
      </c>
      <c r="B232" s="54" t="s">
        <v>663</v>
      </c>
      <c r="C232" s="55" t="s">
        <v>664</v>
      </c>
      <c r="D232" s="54" t="s">
        <v>7</v>
      </c>
      <c r="E232" s="53">
        <v>2</v>
      </c>
      <c r="F232" s="53">
        <v>957.7</v>
      </c>
      <c r="G232" s="53">
        <f t="shared" si="17"/>
        <v>1915.4</v>
      </c>
      <c r="H232" s="16"/>
      <c r="I232" s="89" t="s">
        <v>665</v>
      </c>
      <c r="J232" s="135"/>
    </row>
    <row r="233" spans="1:10" s="34" customFormat="1" ht="60" customHeight="1">
      <c r="A233" s="52" t="s">
        <v>443</v>
      </c>
      <c r="B233" s="54" t="s">
        <v>528</v>
      </c>
      <c r="C233" s="55" t="s">
        <v>529</v>
      </c>
      <c r="D233" s="54" t="s">
        <v>6</v>
      </c>
      <c r="E233" s="53">
        <f>ROUND((1*0.5*3),2)</f>
        <v>1.5</v>
      </c>
      <c r="F233" s="53">
        <v>622.56</v>
      </c>
      <c r="G233" s="53">
        <f t="shared" si="17"/>
        <v>933.84</v>
      </c>
      <c r="H233" s="16"/>
      <c r="I233" s="89" t="s">
        <v>661</v>
      </c>
      <c r="J233" s="135"/>
    </row>
    <row r="234" spans="1:10" s="34" customFormat="1" ht="60" customHeight="1">
      <c r="A234" s="52" t="s">
        <v>444</v>
      </c>
      <c r="B234" s="54" t="s">
        <v>530</v>
      </c>
      <c r="C234" s="55" t="s">
        <v>531</v>
      </c>
      <c r="D234" s="54" t="s">
        <v>6</v>
      </c>
      <c r="E234" s="53">
        <f>ROUND(2*0.5,2)</f>
        <v>1</v>
      </c>
      <c r="F234" s="53">
        <v>717.04</v>
      </c>
      <c r="G234" s="53">
        <f t="shared" si="17"/>
        <v>717.04</v>
      </c>
      <c r="H234" s="16"/>
      <c r="I234" s="89" t="s">
        <v>662</v>
      </c>
      <c r="J234" s="135"/>
    </row>
    <row r="235" spans="1:10" s="34" customFormat="1" ht="30" customHeight="1">
      <c r="A235" s="52" t="s">
        <v>402</v>
      </c>
      <c r="B235" s="54" t="s">
        <v>535</v>
      </c>
      <c r="C235" s="55" t="s">
        <v>536</v>
      </c>
      <c r="D235" s="54" t="s">
        <v>18</v>
      </c>
      <c r="E235" s="53">
        <f>ROUND((1.5*3)+(1.7*2),2)</f>
        <v>7.9</v>
      </c>
      <c r="F235" s="53">
        <v>63.57</v>
      </c>
      <c r="G235" s="53">
        <f t="shared" si="17"/>
        <v>502.2</v>
      </c>
      <c r="H235" s="16"/>
      <c r="I235" s="89" t="s">
        <v>666</v>
      </c>
      <c r="J235" s="135"/>
    </row>
    <row r="236" spans="1:10" s="34" customFormat="1" ht="75" customHeight="1">
      <c r="A236" s="52" t="s">
        <v>714</v>
      </c>
      <c r="B236" s="54" t="s">
        <v>183</v>
      </c>
      <c r="C236" s="55" t="s">
        <v>184</v>
      </c>
      <c r="D236" s="54" t="s">
        <v>7</v>
      </c>
      <c r="E236" s="53">
        <v>2</v>
      </c>
      <c r="F236" s="53">
        <v>458.48</v>
      </c>
      <c r="G236" s="53">
        <f t="shared" si="17"/>
        <v>916.96</v>
      </c>
      <c r="H236" s="16"/>
      <c r="I236" s="89" t="s">
        <v>665</v>
      </c>
      <c r="J236" s="135"/>
    </row>
    <row r="237" spans="1:10" s="34" customFormat="1" ht="30" customHeight="1">
      <c r="A237" s="52" t="s">
        <v>715</v>
      </c>
      <c r="B237" s="54" t="s">
        <v>179</v>
      </c>
      <c r="C237" s="55" t="s">
        <v>180</v>
      </c>
      <c r="D237" s="54" t="s">
        <v>7</v>
      </c>
      <c r="E237" s="53">
        <v>2</v>
      </c>
      <c r="F237" s="53">
        <v>176.66</v>
      </c>
      <c r="G237" s="53">
        <f t="shared" si="17"/>
        <v>353.32</v>
      </c>
      <c r="H237" s="16"/>
      <c r="I237" s="89" t="s">
        <v>665</v>
      </c>
      <c r="J237" s="135"/>
    </row>
    <row r="238" spans="1:10" s="34" customFormat="1" ht="30" customHeight="1">
      <c r="A238" s="52" t="s">
        <v>716</v>
      </c>
      <c r="B238" s="54" t="s">
        <v>193</v>
      </c>
      <c r="C238" s="55" t="s">
        <v>194</v>
      </c>
      <c r="D238" s="54" t="s">
        <v>7</v>
      </c>
      <c r="E238" s="53">
        <v>7</v>
      </c>
      <c r="F238" s="53">
        <v>41.92</v>
      </c>
      <c r="G238" s="53">
        <f t="shared" si="17"/>
        <v>293.44</v>
      </c>
      <c r="H238" s="16"/>
      <c r="I238" s="89" t="s">
        <v>660</v>
      </c>
      <c r="J238" s="135"/>
    </row>
    <row r="239" spans="1:10" s="34" customFormat="1" ht="30" customHeight="1">
      <c r="A239" s="52" t="s">
        <v>717</v>
      </c>
      <c r="B239" s="54" t="s">
        <v>195</v>
      </c>
      <c r="C239" s="55" t="s">
        <v>196</v>
      </c>
      <c r="D239" s="54" t="s">
        <v>7</v>
      </c>
      <c r="E239" s="53">
        <v>7</v>
      </c>
      <c r="F239" s="53">
        <v>38.6</v>
      </c>
      <c r="G239" s="53">
        <f t="shared" si="17"/>
        <v>270.2</v>
      </c>
      <c r="H239" s="16"/>
      <c r="I239" s="89" t="s">
        <v>660</v>
      </c>
      <c r="J239" s="135"/>
    </row>
    <row r="240" spans="1:10" s="34" customFormat="1" ht="30" customHeight="1">
      <c r="A240" s="52" t="s">
        <v>718</v>
      </c>
      <c r="B240" s="54" t="s">
        <v>197</v>
      </c>
      <c r="C240" s="55" t="s">
        <v>198</v>
      </c>
      <c r="D240" s="54" t="s">
        <v>7</v>
      </c>
      <c r="E240" s="53">
        <v>8</v>
      </c>
      <c r="F240" s="53">
        <v>34.8</v>
      </c>
      <c r="G240" s="53">
        <f t="shared" si="17"/>
        <v>278.4</v>
      </c>
      <c r="H240" s="16"/>
      <c r="I240" s="89" t="s">
        <v>656</v>
      </c>
      <c r="J240" s="135"/>
    </row>
    <row r="241" spans="1:10" s="34" customFormat="1" ht="30" customHeight="1">
      <c r="A241" s="52" t="s">
        <v>719</v>
      </c>
      <c r="B241" s="54" t="s">
        <v>185</v>
      </c>
      <c r="C241" s="55" t="s">
        <v>186</v>
      </c>
      <c r="D241" s="54" t="s">
        <v>6</v>
      </c>
      <c r="E241" s="53">
        <f>ROUND((0.8*1*3)+(1*1*4),2)</f>
        <v>6.4</v>
      </c>
      <c r="F241" s="53">
        <v>366.6</v>
      </c>
      <c r="G241" s="53">
        <f t="shared" si="17"/>
        <v>2346.24</v>
      </c>
      <c r="H241" s="16"/>
      <c r="I241" s="89" t="s">
        <v>669</v>
      </c>
      <c r="J241" s="135"/>
    </row>
    <row r="242" spans="1:10" s="34" customFormat="1" ht="45" customHeight="1">
      <c r="A242" s="52" t="s">
        <v>720</v>
      </c>
      <c r="B242" s="54" t="s">
        <v>558</v>
      </c>
      <c r="C242" s="55" t="s">
        <v>559</v>
      </c>
      <c r="D242" s="54" t="s">
        <v>7</v>
      </c>
      <c r="E242" s="53">
        <v>1</v>
      </c>
      <c r="F242" s="53">
        <v>283.8</v>
      </c>
      <c r="G242" s="53">
        <f aca="true" t="shared" si="18" ref="G242:G250">ROUND(E242*F242,2)</f>
        <v>283.8</v>
      </c>
      <c r="H242" s="16"/>
      <c r="I242" s="89" t="s">
        <v>670</v>
      </c>
      <c r="J242" s="135"/>
    </row>
    <row r="243" spans="1:10" s="34" customFormat="1" ht="30" customHeight="1">
      <c r="A243" s="52" t="s">
        <v>721</v>
      </c>
      <c r="B243" s="54" t="s">
        <v>560</v>
      </c>
      <c r="C243" s="55" t="s">
        <v>561</v>
      </c>
      <c r="D243" s="54" t="s">
        <v>7</v>
      </c>
      <c r="E243" s="53">
        <v>1</v>
      </c>
      <c r="F243" s="53">
        <v>50.99</v>
      </c>
      <c r="G243" s="53">
        <f t="shared" si="18"/>
        <v>50.99</v>
      </c>
      <c r="H243" s="16"/>
      <c r="I243" s="89" t="s">
        <v>670</v>
      </c>
      <c r="J243" s="135"/>
    </row>
    <row r="244" spans="1:10" s="34" customFormat="1" ht="90" customHeight="1">
      <c r="A244" s="52" t="s">
        <v>722</v>
      </c>
      <c r="B244" s="54" t="s">
        <v>562</v>
      </c>
      <c r="C244" s="55" t="s">
        <v>563</v>
      </c>
      <c r="D244" s="54" t="s">
        <v>7</v>
      </c>
      <c r="E244" s="53">
        <v>1</v>
      </c>
      <c r="F244" s="53">
        <v>2711.12</v>
      </c>
      <c r="G244" s="53">
        <f t="shared" si="18"/>
        <v>2711.12</v>
      </c>
      <c r="H244" s="16"/>
      <c r="I244" s="89" t="s">
        <v>670</v>
      </c>
      <c r="J244" s="135"/>
    </row>
    <row r="245" spans="1:10" s="34" customFormat="1" ht="45" customHeight="1">
      <c r="A245" s="52" t="s">
        <v>723</v>
      </c>
      <c r="B245" s="54" t="s">
        <v>564</v>
      </c>
      <c r="C245" s="55" t="s">
        <v>565</v>
      </c>
      <c r="D245" s="54" t="s">
        <v>7</v>
      </c>
      <c r="E245" s="53">
        <v>1</v>
      </c>
      <c r="F245" s="53">
        <v>287.58</v>
      </c>
      <c r="G245" s="53">
        <f t="shared" si="18"/>
        <v>287.58</v>
      </c>
      <c r="H245" s="16"/>
      <c r="I245" s="89" t="s">
        <v>670</v>
      </c>
      <c r="J245" s="135"/>
    </row>
    <row r="246" spans="1:10" s="34" customFormat="1" ht="90" customHeight="1">
      <c r="A246" s="52" t="s">
        <v>724</v>
      </c>
      <c r="B246" s="54" t="s">
        <v>72</v>
      </c>
      <c r="C246" s="55" t="s">
        <v>201</v>
      </c>
      <c r="D246" s="54" t="s">
        <v>7</v>
      </c>
      <c r="E246" s="53">
        <v>1</v>
      </c>
      <c r="F246" s="53">
        <v>736.18</v>
      </c>
      <c r="G246" s="53">
        <f t="shared" si="18"/>
        <v>736.18</v>
      </c>
      <c r="H246" s="16"/>
      <c r="I246" s="89" t="s">
        <v>670</v>
      </c>
      <c r="J246" s="135"/>
    </row>
    <row r="247" spans="1:10" s="34" customFormat="1" ht="75" customHeight="1">
      <c r="A247" s="52" t="s">
        <v>725</v>
      </c>
      <c r="B247" s="54" t="s">
        <v>187</v>
      </c>
      <c r="C247" s="55" t="s">
        <v>188</v>
      </c>
      <c r="D247" s="54" t="s">
        <v>7</v>
      </c>
      <c r="E247" s="53">
        <v>1</v>
      </c>
      <c r="F247" s="53">
        <v>4429.64</v>
      </c>
      <c r="G247" s="53">
        <f t="shared" si="18"/>
        <v>4429.64</v>
      </c>
      <c r="H247" s="16"/>
      <c r="I247" s="89" t="s">
        <v>543</v>
      </c>
      <c r="J247" s="135"/>
    </row>
    <row r="248" spans="1:10" s="34" customFormat="1" ht="45" customHeight="1">
      <c r="A248" s="52" t="s">
        <v>726</v>
      </c>
      <c r="B248" s="54" t="s">
        <v>189</v>
      </c>
      <c r="C248" s="55" t="s">
        <v>190</v>
      </c>
      <c r="D248" s="54" t="s">
        <v>7</v>
      </c>
      <c r="E248" s="53">
        <v>1</v>
      </c>
      <c r="F248" s="53">
        <v>363.37</v>
      </c>
      <c r="G248" s="53">
        <f t="shared" si="18"/>
        <v>363.37</v>
      </c>
      <c r="H248" s="16"/>
      <c r="I248" s="89" t="s">
        <v>543</v>
      </c>
      <c r="J248" s="135"/>
    </row>
    <row r="249" spans="1:10" s="34" customFormat="1" ht="60" customHeight="1">
      <c r="A249" s="52" t="s">
        <v>727</v>
      </c>
      <c r="B249" s="54" t="s">
        <v>191</v>
      </c>
      <c r="C249" s="55" t="s">
        <v>192</v>
      </c>
      <c r="D249" s="54" t="s">
        <v>7</v>
      </c>
      <c r="E249" s="53">
        <v>1</v>
      </c>
      <c r="F249" s="53">
        <v>645.61</v>
      </c>
      <c r="G249" s="53">
        <f t="shared" si="18"/>
        <v>645.61</v>
      </c>
      <c r="H249" s="16"/>
      <c r="I249" s="89" t="s">
        <v>543</v>
      </c>
      <c r="J249" s="135"/>
    </row>
    <row r="250" spans="1:10" s="34" customFormat="1" ht="30" customHeight="1">
      <c r="A250" s="52" t="s">
        <v>728</v>
      </c>
      <c r="B250" s="54" t="s">
        <v>567</v>
      </c>
      <c r="C250" s="55" t="s">
        <v>568</v>
      </c>
      <c r="D250" s="54" t="s">
        <v>7</v>
      </c>
      <c r="E250" s="53">
        <v>5</v>
      </c>
      <c r="F250" s="53">
        <v>160.25</v>
      </c>
      <c r="G250" s="53">
        <f t="shared" si="18"/>
        <v>801.25</v>
      </c>
      <c r="H250" s="16"/>
      <c r="I250" s="89" t="s">
        <v>671</v>
      </c>
      <c r="J250" s="135"/>
    </row>
    <row r="251" spans="1:8" ht="19.5" customHeight="1" thickBot="1">
      <c r="A251" s="52"/>
      <c r="B251" s="10"/>
      <c r="C251" s="13"/>
      <c r="D251" s="10"/>
      <c r="E251" s="14"/>
      <c r="F251" s="14"/>
      <c r="G251" s="14"/>
      <c r="H251" s="16"/>
    </row>
    <row r="252" spans="1:66" s="33" customFormat="1" ht="19.5" customHeight="1" thickBot="1">
      <c r="A252" s="84" t="s">
        <v>729</v>
      </c>
      <c r="B252" s="85"/>
      <c r="C252" s="86" t="s">
        <v>202</v>
      </c>
      <c r="D252" s="85"/>
      <c r="E252" s="87"/>
      <c r="F252" s="87"/>
      <c r="G252" s="87">
        <f>SUM(G253:G267)</f>
        <v>28317.370000000006</v>
      </c>
      <c r="H252" s="17"/>
      <c r="I252" s="139"/>
      <c r="J252" s="139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</row>
    <row r="253" spans="1:10" s="34" customFormat="1" ht="75" customHeight="1">
      <c r="A253" s="58" t="s">
        <v>730</v>
      </c>
      <c r="B253" s="59" t="s">
        <v>552</v>
      </c>
      <c r="C253" s="60" t="s">
        <v>553</v>
      </c>
      <c r="D253" s="59" t="s">
        <v>7</v>
      </c>
      <c r="E253" s="61">
        <v>34</v>
      </c>
      <c r="F253" s="61">
        <v>317.51</v>
      </c>
      <c r="G253" s="61">
        <f>ROUND(E253*F253,2)</f>
        <v>10795.34</v>
      </c>
      <c r="H253" s="16"/>
      <c r="I253" s="89" t="s">
        <v>672</v>
      </c>
      <c r="J253" s="89"/>
    </row>
    <row r="254" spans="1:10" s="34" customFormat="1" ht="75" customHeight="1">
      <c r="A254" s="65" t="s">
        <v>731</v>
      </c>
      <c r="B254" s="66" t="s">
        <v>224</v>
      </c>
      <c r="C254" s="67" t="s">
        <v>223</v>
      </c>
      <c r="D254" s="66" t="s">
        <v>7</v>
      </c>
      <c r="E254" s="61">
        <v>6</v>
      </c>
      <c r="F254" s="61">
        <v>324.92</v>
      </c>
      <c r="G254" s="61">
        <f>ROUND(E254*F254,2)</f>
        <v>1949.52</v>
      </c>
      <c r="H254" s="16"/>
      <c r="I254" s="89" t="s">
        <v>673</v>
      </c>
      <c r="J254" s="135"/>
    </row>
    <row r="255" spans="1:10" s="34" customFormat="1" ht="75" customHeight="1">
      <c r="A255" s="65" t="s">
        <v>732</v>
      </c>
      <c r="B255" s="66" t="s">
        <v>550</v>
      </c>
      <c r="C255" s="67" t="s">
        <v>551</v>
      </c>
      <c r="D255" s="66" t="s">
        <v>7</v>
      </c>
      <c r="E255" s="61">
        <v>3</v>
      </c>
      <c r="F255" s="61">
        <v>478.89</v>
      </c>
      <c r="G255" s="61">
        <f aca="true" t="shared" si="19" ref="G255:G261">ROUND(E255*F255,2)</f>
        <v>1436.67</v>
      </c>
      <c r="H255" s="16"/>
      <c r="I255" s="89" t="s">
        <v>674</v>
      </c>
      <c r="J255" s="135"/>
    </row>
    <row r="256" spans="1:10" s="34" customFormat="1" ht="75" customHeight="1">
      <c r="A256" s="65" t="s">
        <v>733</v>
      </c>
      <c r="B256" s="66" t="s">
        <v>225</v>
      </c>
      <c r="C256" s="67" t="s">
        <v>226</v>
      </c>
      <c r="D256" s="66" t="s">
        <v>7</v>
      </c>
      <c r="E256" s="61">
        <v>2</v>
      </c>
      <c r="F256" s="61">
        <v>800</v>
      </c>
      <c r="G256" s="61">
        <f t="shared" si="19"/>
        <v>1600</v>
      </c>
      <c r="H256" s="16"/>
      <c r="I256" s="89" t="s">
        <v>675</v>
      </c>
      <c r="J256" s="135"/>
    </row>
    <row r="257" spans="1:10" s="34" customFormat="1" ht="45" customHeight="1">
      <c r="A257" s="16" t="s">
        <v>734</v>
      </c>
      <c r="B257" s="116" t="s">
        <v>546</v>
      </c>
      <c r="C257" s="117" t="s">
        <v>547</v>
      </c>
      <c r="D257" s="116" t="s">
        <v>7</v>
      </c>
      <c r="E257" s="118">
        <v>7</v>
      </c>
      <c r="F257" s="118">
        <v>85.05</v>
      </c>
      <c r="G257" s="118">
        <f t="shared" si="19"/>
        <v>595.35</v>
      </c>
      <c r="H257" s="16"/>
      <c r="I257" s="89" t="s">
        <v>673</v>
      </c>
      <c r="J257" s="135"/>
    </row>
    <row r="258" spans="1:10" s="34" customFormat="1" ht="45" customHeight="1">
      <c r="A258" s="115" t="s">
        <v>735</v>
      </c>
      <c r="B258" s="63" t="s">
        <v>548</v>
      </c>
      <c r="C258" s="64" t="s">
        <v>549</v>
      </c>
      <c r="D258" s="63" t="s">
        <v>7</v>
      </c>
      <c r="E258" s="83">
        <v>18</v>
      </c>
      <c r="F258" s="83">
        <v>124.05</v>
      </c>
      <c r="G258" s="83">
        <f t="shared" si="19"/>
        <v>2232.9</v>
      </c>
      <c r="H258" s="16"/>
      <c r="I258" s="89" t="s">
        <v>676</v>
      </c>
      <c r="J258" s="135"/>
    </row>
    <row r="259" spans="1:10" s="34" customFormat="1" ht="75" customHeight="1">
      <c r="A259" s="62" t="s">
        <v>736</v>
      </c>
      <c r="B259" s="63" t="s">
        <v>554</v>
      </c>
      <c r="C259" s="64" t="s">
        <v>555</v>
      </c>
      <c r="D259" s="63" t="s">
        <v>7</v>
      </c>
      <c r="E259" s="83">
        <v>3</v>
      </c>
      <c r="F259" s="83">
        <v>1425.85</v>
      </c>
      <c r="G259" s="83">
        <f t="shared" si="19"/>
        <v>4277.55</v>
      </c>
      <c r="H259" s="16"/>
      <c r="I259" s="89" t="s">
        <v>678</v>
      </c>
      <c r="J259" s="135"/>
    </row>
    <row r="260" spans="1:10" s="34" customFormat="1" ht="60" customHeight="1">
      <c r="A260" s="62" t="s">
        <v>737</v>
      </c>
      <c r="B260" s="120" t="s">
        <v>556</v>
      </c>
      <c r="C260" s="121" t="s">
        <v>557</v>
      </c>
      <c r="D260" s="120" t="s">
        <v>18</v>
      </c>
      <c r="E260" s="83">
        <v>6</v>
      </c>
      <c r="F260" s="83">
        <v>225.54</v>
      </c>
      <c r="G260" s="83">
        <f t="shared" si="19"/>
        <v>1353.24</v>
      </c>
      <c r="H260" s="16"/>
      <c r="I260" s="89" t="s">
        <v>679</v>
      </c>
      <c r="J260" s="135"/>
    </row>
    <row r="261" spans="1:10" s="34" customFormat="1" ht="45" customHeight="1">
      <c r="A261" s="119" t="s">
        <v>738</v>
      </c>
      <c r="B261" s="123" t="s">
        <v>614</v>
      </c>
      <c r="C261" s="124" t="s">
        <v>615</v>
      </c>
      <c r="D261" s="123" t="s">
        <v>7</v>
      </c>
      <c r="E261" s="83">
        <v>6</v>
      </c>
      <c r="F261" s="83">
        <v>228.72</v>
      </c>
      <c r="G261" s="83">
        <f t="shared" si="19"/>
        <v>1372.32</v>
      </c>
      <c r="H261" s="16"/>
      <c r="I261" s="89" t="s">
        <v>680</v>
      </c>
      <c r="J261" s="135"/>
    </row>
    <row r="262" spans="1:10" s="34" customFormat="1" ht="30" customHeight="1">
      <c r="A262" s="122" t="s">
        <v>739</v>
      </c>
      <c r="B262" s="123" t="s">
        <v>616</v>
      </c>
      <c r="C262" s="124" t="s">
        <v>617</v>
      </c>
      <c r="D262" s="123" t="s">
        <v>7</v>
      </c>
      <c r="E262" s="83">
        <v>6</v>
      </c>
      <c r="F262" s="83">
        <v>257.14</v>
      </c>
      <c r="G262" s="83">
        <f aca="true" t="shared" si="20" ref="G262:G267">ROUND(E262*F262,2)</f>
        <v>1542.84</v>
      </c>
      <c r="H262" s="16"/>
      <c r="I262" s="89" t="s">
        <v>680</v>
      </c>
      <c r="J262" s="135"/>
    </row>
    <row r="263" spans="1:10" s="34" customFormat="1" ht="30" customHeight="1">
      <c r="A263" s="52" t="s">
        <v>740</v>
      </c>
      <c r="B263" s="54" t="s">
        <v>624</v>
      </c>
      <c r="C263" s="55" t="s">
        <v>625</v>
      </c>
      <c r="D263" s="54" t="s">
        <v>7</v>
      </c>
      <c r="E263" s="83">
        <v>2</v>
      </c>
      <c r="F263" s="83">
        <v>191.78</v>
      </c>
      <c r="G263" s="83">
        <f t="shared" si="20"/>
        <v>383.56</v>
      </c>
      <c r="H263" s="16"/>
      <c r="I263" s="89" t="s">
        <v>681</v>
      </c>
      <c r="J263" s="135"/>
    </row>
    <row r="264" spans="1:10" s="34" customFormat="1" ht="30" customHeight="1">
      <c r="A264" s="52" t="s">
        <v>741</v>
      </c>
      <c r="B264" s="54" t="s">
        <v>73</v>
      </c>
      <c r="C264" s="55" t="s">
        <v>205</v>
      </c>
      <c r="D264" s="54" t="s">
        <v>7</v>
      </c>
      <c r="E264" s="83">
        <v>3</v>
      </c>
      <c r="F264" s="83">
        <v>47.37</v>
      </c>
      <c r="G264" s="83">
        <f t="shared" si="20"/>
        <v>142.11</v>
      </c>
      <c r="H264" s="16"/>
      <c r="I264" s="89" t="s">
        <v>626</v>
      </c>
      <c r="J264" s="135"/>
    </row>
    <row r="265" spans="1:10" s="34" customFormat="1" ht="30" customHeight="1">
      <c r="A265" s="52" t="s">
        <v>742</v>
      </c>
      <c r="B265" s="54" t="s">
        <v>74</v>
      </c>
      <c r="C265" s="55" t="s">
        <v>206</v>
      </c>
      <c r="D265" s="54" t="s">
        <v>7</v>
      </c>
      <c r="E265" s="83">
        <v>3</v>
      </c>
      <c r="F265" s="83">
        <v>28.69</v>
      </c>
      <c r="G265" s="83">
        <f t="shared" si="20"/>
        <v>86.07</v>
      </c>
      <c r="H265" s="16"/>
      <c r="I265" s="89" t="s">
        <v>626</v>
      </c>
      <c r="J265" s="135"/>
    </row>
    <row r="266" spans="1:10" s="34" customFormat="1" ht="30" customHeight="1">
      <c r="A266" s="52" t="s">
        <v>743</v>
      </c>
      <c r="B266" s="54" t="s">
        <v>54</v>
      </c>
      <c r="C266" s="55" t="s">
        <v>207</v>
      </c>
      <c r="D266" s="54" t="s">
        <v>7</v>
      </c>
      <c r="E266" s="83">
        <v>10</v>
      </c>
      <c r="F266" s="83">
        <v>37.1</v>
      </c>
      <c r="G266" s="83">
        <f t="shared" si="20"/>
        <v>371</v>
      </c>
      <c r="H266" s="16"/>
      <c r="I266" s="89" t="s">
        <v>682</v>
      </c>
      <c r="J266" s="135"/>
    </row>
    <row r="267" spans="1:10" s="34" customFormat="1" ht="60" customHeight="1">
      <c r="A267" s="52" t="s">
        <v>744</v>
      </c>
      <c r="B267" s="54" t="s">
        <v>75</v>
      </c>
      <c r="C267" s="55" t="s">
        <v>46</v>
      </c>
      <c r="D267" s="54" t="s">
        <v>7</v>
      </c>
      <c r="E267" s="83">
        <v>1</v>
      </c>
      <c r="F267" s="83">
        <v>178.9</v>
      </c>
      <c r="G267" s="83">
        <f t="shared" si="20"/>
        <v>178.9</v>
      </c>
      <c r="H267" s="16"/>
      <c r="I267" s="89" t="s">
        <v>683</v>
      </c>
      <c r="J267" s="135"/>
    </row>
    <row r="268" spans="1:10" s="34" customFormat="1" ht="19.5" customHeight="1" thickBot="1">
      <c r="A268" s="16"/>
      <c r="B268" s="57"/>
      <c r="C268" s="38"/>
      <c r="D268" s="57"/>
      <c r="E268" s="39"/>
      <c r="F268" s="39"/>
      <c r="G268" s="39"/>
      <c r="H268" s="16"/>
      <c r="I268" s="135"/>
      <c r="J268" s="135"/>
    </row>
    <row r="269" spans="1:66" s="33" customFormat="1" ht="19.5" customHeight="1" thickBot="1">
      <c r="A269" s="84" t="s">
        <v>745</v>
      </c>
      <c r="B269" s="85"/>
      <c r="C269" s="86" t="s">
        <v>796</v>
      </c>
      <c r="D269" s="85"/>
      <c r="E269" s="87"/>
      <c r="F269" s="87"/>
      <c r="G269" s="87">
        <f>SUM(G270:G272)</f>
        <v>20755.79</v>
      </c>
      <c r="H269" s="17"/>
      <c r="I269" s="139"/>
      <c r="J269" s="139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</row>
    <row r="270" spans="1:10" s="34" customFormat="1" ht="60" customHeight="1">
      <c r="A270" s="52" t="s">
        <v>746</v>
      </c>
      <c r="B270" s="54" t="s">
        <v>800</v>
      </c>
      <c r="C270" s="55" t="s">
        <v>801</v>
      </c>
      <c r="D270" s="54" t="s">
        <v>6</v>
      </c>
      <c r="E270" s="61">
        <f>ROUND((13.2*6.55)+(7.15*4.3),2)</f>
        <v>117.21</v>
      </c>
      <c r="F270" s="61">
        <v>52.57</v>
      </c>
      <c r="G270" s="61">
        <f>ROUND(E270*F270,2)</f>
        <v>6161.73</v>
      </c>
      <c r="H270" s="16"/>
      <c r="I270" s="89" t="s">
        <v>797</v>
      </c>
      <c r="J270" s="74"/>
    </row>
    <row r="271" spans="1:10" s="34" customFormat="1" ht="45" customHeight="1">
      <c r="A271" s="52" t="s">
        <v>747</v>
      </c>
      <c r="B271" s="54" t="s">
        <v>798</v>
      </c>
      <c r="C271" s="55" t="s">
        <v>799</v>
      </c>
      <c r="D271" s="54" t="s">
        <v>6</v>
      </c>
      <c r="E271" s="61">
        <f>ROUND((13.2*6.55)+(7.15*4.3),2)</f>
        <v>117.21</v>
      </c>
      <c r="F271" s="61">
        <v>68.04</v>
      </c>
      <c r="G271" s="61">
        <f>ROUND(E271*F271,2)</f>
        <v>7974.97</v>
      </c>
      <c r="H271" s="16"/>
      <c r="I271" s="89" t="s">
        <v>797</v>
      </c>
      <c r="J271" s="74"/>
    </row>
    <row r="272" spans="1:10" s="34" customFormat="1" ht="45" customHeight="1">
      <c r="A272" s="52" t="s">
        <v>748</v>
      </c>
      <c r="B272" s="54" t="s">
        <v>802</v>
      </c>
      <c r="C272" s="55" t="s">
        <v>803</v>
      </c>
      <c r="D272" s="54" t="s">
        <v>18</v>
      </c>
      <c r="E272" s="61">
        <f>ROUND(13.2+6.55+6.55+7.15+4.3+4.3,2)</f>
        <v>42.05</v>
      </c>
      <c r="F272" s="61">
        <v>157.41</v>
      </c>
      <c r="G272" s="61">
        <f>ROUND(E272*F272,2)</f>
        <v>6619.09</v>
      </c>
      <c r="H272" s="16"/>
      <c r="I272" s="89" t="s">
        <v>804</v>
      </c>
      <c r="J272" s="75"/>
    </row>
    <row r="273" spans="1:10" s="34" customFormat="1" ht="19.5" customHeight="1" thickBot="1">
      <c r="A273" s="16"/>
      <c r="B273" s="57"/>
      <c r="C273" s="38"/>
      <c r="D273" s="57"/>
      <c r="E273" s="39"/>
      <c r="F273" s="39"/>
      <c r="G273" s="39"/>
      <c r="H273" s="16"/>
      <c r="I273" s="135"/>
      <c r="J273" s="135"/>
    </row>
    <row r="274" spans="1:66" s="33" customFormat="1" ht="19.5" customHeight="1" thickBot="1">
      <c r="A274" s="84" t="s">
        <v>858</v>
      </c>
      <c r="B274" s="85"/>
      <c r="C274" s="86" t="s">
        <v>21</v>
      </c>
      <c r="D274" s="85"/>
      <c r="E274" s="87"/>
      <c r="F274" s="87"/>
      <c r="G274" s="87">
        <f>SUM(G275:G277)</f>
        <v>16919.429999999997</v>
      </c>
      <c r="H274" s="17"/>
      <c r="I274" s="139"/>
      <c r="J274" s="139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</row>
    <row r="275" spans="1:10" s="34" customFormat="1" ht="75" customHeight="1">
      <c r="A275" s="62" t="s">
        <v>859</v>
      </c>
      <c r="B275" s="63" t="s">
        <v>636</v>
      </c>
      <c r="C275" s="64" t="s">
        <v>637</v>
      </c>
      <c r="D275" s="63" t="s">
        <v>6</v>
      </c>
      <c r="E275" s="127">
        <f>ROUND((35.64+29.4+41.82+71.67+16.1+16.1+5.67+2.5+2.5+2.5+25.45+48.58+75.8)+(37.19*4.35)+(37.19*1.2*2)+(20.86*4.95)+(20.86*1.8*2),2)</f>
        <v>803.12</v>
      </c>
      <c r="F275" s="83">
        <v>16.61</v>
      </c>
      <c r="G275" s="83">
        <f>ROUND(E275*F275,2)</f>
        <v>13339.82</v>
      </c>
      <c r="H275" s="16"/>
      <c r="I275" s="89" t="s">
        <v>857</v>
      </c>
      <c r="J275" s="89"/>
    </row>
    <row r="276" spans="1:11" s="34" customFormat="1" ht="60" customHeight="1">
      <c r="A276" s="62" t="s">
        <v>860</v>
      </c>
      <c r="B276" s="62" t="s">
        <v>63</v>
      </c>
      <c r="C276" s="64" t="s">
        <v>60</v>
      </c>
      <c r="D276" s="62" t="s">
        <v>6</v>
      </c>
      <c r="E276" s="83">
        <v>67.4</v>
      </c>
      <c r="F276" s="83">
        <v>45.25</v>
      </c>
      <c r="G276" s="83">
        <f>ROUND(E276*F276,2)</f>
        <v>3049.85</v>
      </c>
      <c r="H276" s="16"/>
      <c r="I276" s="89" t="s">
        <v>856</v>
      </c>
      <c r="J276" s="89"/>
      <c r="K276" s="104"/>
    </row>
    <row r="277" spans="1:11" s="34" customFormat="1" ht="60" customHeight="1">
      <c r="A277" s="62" t="s">
        <v>861</v>
      </c>
      <c r="B277" s="62" t="s">
        <v>59</v>
      </c>
      <c r="C277" s="64" t="s">
        <v>58</v>
      </c>
      <c r="D277" s="62" t="s">
        <v>6</v>
      </c>
      <c r="E277" s="83">
        <v>67.4</v>
      </c>
      <c r="F277" s="83">
        <v>7.86</v>
      </c>
      <c r="G277" s="83">
        <f>ROUND(E277*F277,2)</f>
        <v>529.76</v>
      </c>
      <c r="H277" s="16"/>
      <c r="I277" s="89" t="s">
        <v>856</v>
      </c>
      <c r="J277" s="89"/>
      <c r="K277" s="104"/>
    </row>
    <row r="278" spans="1:10" s="34" customFormat="1" ht="19.5" customHeight="1" thickBot="1">
      <c r="A278" s="16"/>
      <c r="B278" s="57"/>
      <c r="C278" s="38"/>
      <c r="D278" s="57"/>
      <c r="E278" s="39"/>
      <c r="F278" s="39"/>
      <c r="G278" s="39"/>
      <c r="H278" s="16"/>
      <c r="I278" s="135"/>
      <c r="J278" s="135"/>
    </row>
    <row r="279" spans="1:66" s="33" customFormat="1" ht="19.5" customHeight="1" thickBot="1">
      <c r="A279" s="84" t="s">
        <v>818</v>
      </c>
      <c r="B279" s="85"/>
      <c r="C279" s="86" t="s">
        <v>706</v>
      </c>
      <c r="D279" s="85"/>
      <c r="E279" s="87"/>
      <c r="F279" s="87"/>
      <c r="G279" s="87">
        <f>SUM(G280:G312)</f>
        <v>207537.94999999995</v>
      </c>
      <c r="H279" s="17"/>
      <c r="I279" s="139"/>
      <c r="J279" s="139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</row>
    <row r="280" spans="1:10" s="34" customFormat="1" ht="60" customHeight="1">
      <c r="A280" s="52" t="s">
        <v>819</v>
      </c>
      <c r="B280" s="54" t="s">
        <v>237</v>
      </c>
      <c r="C280" s="55" t="s">
        <v>238</v>
      </c>
      <c r="D280" s="54" t="s">
        <v>239</v>
      </c>
      <c r="E280" s="61">
        <f>ROUND(2*6.5*3,2)</f>
        <v>39</v>
      </c>
      <c r="F280" s="61">
        <v>28.2</v>
      </c>
      <c r="G280" s="61">
        <f aca="true" t="shared" si="21" ref="G280:G289">ROUND(E280*F280,2)</f>
        <v>1099.8</v>
      </c>
      <c r="H280" s="16"/>
      <c r="I280" s="89" t="s">
        <v>248</v>
      </c>
      <c r="J280" s="74"/>
    </row>
    <row r="281" spans="1:10" s="34" customFormat="1" ht="30" customHeight="1">
      <c r="A281" s="52" t="s">
        <v>820</v>
      </c>
      <c r="B281" s="54" t="s">
        <v>240</v>
      </c>
      <c r="C281" s="55" t="s">
        <v>241</v>
      </c>
      <c r="D281" s="54" t="s">
        <v>49</v>
      </c>
      <c r="E281" s="61">
        <f>ROUND(2*3,2)</f>
        <v>6</v>
      </c>
      <c r="F281" s="61">
        <v>85</v>
      </c>
      <c r="G281" s="61">
        <f t="shared" si="21"/>
        <v>510</v>
      </c>
      <c r="H281" s="16"/>
      <c r="I281" s="89" t="s">
        <v>249</v>
      </c>
      <c r="J281" s="74"/>
    </row>
    <row r="282" spans="1:10" s="34" customFormat="1" ht="30" customHeight="1">
      <c r="A282" s="52" t="s">
        <v>821</v>
      </c>
      <c r="B282" s="54" t="s">
        <v>29</v>
      </c>
      <c r="C282" s="55" t="s">
        <v>38</v>
      </c>
      <c r="D282" s="54" t="s">
        <v>6</v>
      </c>
      <c r="E282" s="61">
        <f>ROUND(2*2*6.5,2)</f>
        <v>26</v>
      </c>
      <c r="F282" s="61">
        <v>6.53</v>
      </c>
      <c r="G282" s="61">
        <f t="shared" si="21"/>
        <v>169.78</v>
      </c>
      <c r="H282" s="16"/>
      <c r="I282" s="89" t="s">
        <v>250</v>
      </c>
      <c r="J282" s="75"/>
    </row>
    <row r="283" spans="1:10" s="34" customFormat="1" ht="45" customHeight="1">
      <c r="A283" s="52" t="s">
        <v>822</v>
      </c>
      <c r="B283" s="54" t="s">
        <v>81</v>
      </c>
      <c r="C283" s="55" t="s">
        <v>242</v>
      </c>
      <c r="D283" s="54" t="s">
        <v>11</v>
      </c>
      <c r="E283" s="61">
        <f>ROUND(2*2*6.5*55,2)</f>
        <v>1430</v>
      </c>
      <c r="F283" s="61">
        <v>0.19</v>
      </c>
      <c r="G283" s="61">
        <f t="shared" si="21"/>
        <v>271.7</v>
      </c>
      <c r="H283" s="16"/>
      <c r="I283" s="89" t="s">
        <v>251</v>
      </c>
      <c r="J283" s="74"/>
    </row>
    <row r="284" spans="1:10" s="34" customFormat="1" ht="45" customHeight="1">
      <c r="A284" s="52" t="s">
        <v>823</v>
      </c>
      <c r="B284" s="54" t="s">
        <v>83</v>
      </c>
      <c r="C284" s="55" t="s">
        <v>19</v>
      </c>
      <c r="D284" s="54" t="s">
        <v>6</v>
      </c>
      <c r="E284" s="61">
        <f>ROUND(2*2*6.5,2)</f>
        <v>26</v>
      </c>
      <c r="F284" s="61">
        <v>0.91</v>
      </c>
      <c r="G284" s="61">
        <f t="shared" si="21"/>
        <v>23.66</v>
      </c>
      <c r="H284" s="16"/>
      <c r="I284" s="89" t="s">
        <v>250</v>
      </c>
      <c r="J284" s="75"/>
    </row>
    <row r="285" spans="1:10" s="34" customFormat="1" ht="45" customHeight="1">
      <c r="A285" s="52" t="s">
        <v>824</v>
      </c>
      <c r="B285" s="54" t="s">
        <v>243</v>
      </c>
      <c r="C285" s="55" t="s">
        <v>244</v>
      </c>
      <c r="D285" s="54" t="s">
        <v>245</v>
      </c>
      <c r="E285" s="61">
        <f>ROUND(2*2*1,2)</f>
        <v>4</v>
      </c>
      <c r="F285" s="61">
        <v>66</v>
      </c>
      <c r="G285" s="61">
        <f t="shared" si="21"/>
        <v>264</v>
      </c>
      <c r="H285" s="16"/>
      <c r="I285" s="89" t="s">
        <v>252</v>
      </c>
      <c r="J285" s="74"/>
    </row>
    <row r="286" spans="1:10" s="34" customFormat="1" ht="30" customHeight="1">
      <c r="A286" s="52" t="s">
        <v>825</v>
      </c>
      <c r="B286" s="54" t="s">
        <v>246</v>
      </c>
      <c r="C286" s="55" t="s">
        <v>247</v>
      </c>
      <c r="D286" s="54" t="s">
        <v>18</v>
      </c>
      <c r="E286" s="61">
        <f>ROUND((24.5*10)+(13*6),2)</f>
        <v>323</v>
      </c>
      <c r="F286" s="61">
        <v>0.16</v>
      </c>
      <c r="G286" s="61">
        <f t="shared" si="21"/>
        <v>51.68</v>
      </c>
      <c r="H286" s="16"/>
      <c r="I286" s="89" t="s">
        <v>281</v>
      </c>
      <c r="J286" s="74"/>
    </row>
    <row r="287" spans="1:10" s="34" customFormat="1" ht="120" customHeight="1">
      <c r="A287" s="52" t="s">
        <v>826</v>
      </c>
      <c r="B287" s="54" t="s">
        <v>253</v>
      </c>
      <c r="C287" s="55" t="s">
        <v>254</v>
      </c>
      <c r="D287" s="54" t="s">
        <v>6</v>
      </c>
      <c r="E287" s="61">
        <f>ROUND(24.5*13,2)</f>
        <v>318.5</v>
      </c>
      <c r="F287" s="61">
        <v>412.56</v>
      </c>
      <c r="G287" s="61">
        <f t="shared" si="21"/>
        <v>131400.36</v>
      </c>
      <c r="H287" s="16"/>
      <c r="I287" s="89" t="s">
        <v>255</v>
      </c>
      <c r="J287" s="135"/>
    </row>
    <row r="288" spans="1:10" s="34" customFormat="1" ht="75" customHeight="1">
      <c r="A288" s="52" t="s">
        <v>827</v>
      </c>
      <c r="B288" s="54" t="s">
        <v>217</v>
      </c>
      <c r="C288" s="55" t="s">
        <v>218</v>
      </c>
      <c r="D288" s="54" t="s">
        <v>6</v>
      </c>
      <c r="E288" s="61">
        <f>ROUND(24.5*13,2)</f>
        <v>318.5</v>
      </c>
      <c r="F288" s="61">
        <v>74.77</v>
      </c>
      <c r="G288" s="61">
        <f t="shared" si="21"/>
        <v>23814.25</v>
      </c>
      <c r="H288" s="16"/>
      <c r="I288" s="89" t="s">
        <v>255</v>
      </c>
      <c r="J288" s="135"/>
    </row>
    <row r="289" spans="1:10" s="34" customFormat="1" ht="30" customHeight="1">
      <c r="A289" s="52" t="s">
        <v>828</v>
      </c>
      <c r="B289" s="54" t="s">
        <v>219</v>
      </c>
      <c r="C289" s="55" t="s">
        <v>220</v>
      </c>
      <c r="D289" s="54" t="s">
        <v>18</v>
      </c>
      <c r="E289" s="61">
        <v>24.5</v>
      </c>
      <c r="F289" s="61">
        <v>85.38</v>
      </c>
      <c r="G289" s="61">
        <f t="shared" si="21"/>
        <v>2091.81</v>
      </c>
      <c r="H289" s="16"/>
      <c r="I289" s="89" t="s">
        <v>256</v>
      </c>
      <c r="J289" s="135"/>
    </row>
    <row r="290" spans="1:10" s="34" customFormat="1" ht="60" customHeight="1">
      <c r="A290" s="52" t="s">
        <v>829</v>
      </c>
      <c r="B290" s="63" t="s">
        <v>791</v>
      </c>
      <c r="C290" s="64" t="s">
        <v>790</v>
      </c>
      <c r="D290" s="63" t="s">
        <v>6</v>
      </c>
      <c r="E290" s="83">
        <f>ROUND((24.5*2*2)+(13*2*2),2)</f>
        <v>150</v>
      </c>
      <c r="F290" s="83">
        <v>134.34</v>
      </c>
      <c r="G290" s="83">
        <f aca="true" t="shared" si="22" ref="G290:G311">ROUND(E290*F290,2)</f>
        <v>20151</v>
      </c>
      <c r="H290" s="16"/>
      <c r="I290" s="89" t="s">
        <v>282</v>
      </c>
      <c r="J290" s="135"/>
    </row>
    <row r="291" spans="1:10" s="34" customFormat="1" ht="30" customHeight="1">
      <c r="A291" s="52" t="s">
        <v>830</v>
      </c>
      <c r="B291" s="54" t="s">
        <v>50</v>
      </c>
      <c r="C291" s="55" t="s">
        <v>685</v>
      </c>
      <c r="D291" s="54" t="s">
        <v>6</v>
      </c>
      <c r="E291" s="83">
        <f>ROUND(3*0.6,2)</f>
        <v>1.8</v>
      </c>
      <c r="F291" s="83">
        <v>5.72</v>
      </c>
      <c r="G291" s="83">
        <f t="shared" si="22"/>
        <v>10.3</v>
      </c>
      <c r="H291" s="16"/>
      <c r="I291" s="89" t="s">
        <v>702</v>
      </c>
      <c r="J291" s="135"/>
    </row>
    <row r="292" spans="1:10" s="34" customFormat="1" ht="45" customHeight="1">
      <c r="A292" s="52" t="s">
        <v>831</v>
      </c>
      <c r="B292" s="54" t="s">
        <v>51</v>
      </c>
      <c r="C292" s="55" t="s">
        <v>70</v>
      </c>
      <c r="D292" s="54" t="s">
        <v>32</v>
      </c>
      <c r="E292" s="83">
        <f>ROUND(3*0.3*0.2,2)</f>
        <v>0.18</v>
      </c>
      <c r="F292" s="83">
        <v>55.57</v>
      </c>
      <c r="G292" s="83">
        <f t="shared" si="22"/>
        <v>10</v>
      </c>
      <c r="H292" s="16"/>
      <c r="I292" s="89" t="s">
        <v>703</v>
      </c>
      <c r="J292" s="135"/>
    </row>
    <row r="293" spans="1:10" s="34" customFormat="1" ht="45" customHeight="1">
      <c r="A293" s="52" t="s">
        <v>832</v>
      </c>
      <c r="B293" s="54" t="s">
        <v>45</v>
      </c>
      <c r="C293" s="55" t="s">
        <v>71</v>
      </c>
      <c r="D293" s="54" t="s">
        <v>32</v>
      </c>
      <c r="E293" s="83">
        <f>ROUND(0.8*E292,2)</f>
        <v>0.14</v>
      </c>
      <c r="F293" s="83">
        <v>34.32</v>
      </c>
      <c r="G293" s="83">
        <f t="shared" si="22"/>
        <v>4.8</v>
      </c>
      <c r="H293" s="16"/>
      <c r="I293" s="89" t="s">
        <v>704</v>
      </c>
      <c r="J293" s="135"/>
    </row>
    <row r="294" spans="1:10" s="34" customFormat="1" ht="15" customHeight="1">
      <c r="A294" s="52" t="s">
        <v>833</v>
      </c>
      <c r="B294" s="54" t="s">
        <v>778</v>
      </c>
      <c r="C294" s="55" t="s">
        <v>779</v>
      </c>
      <c r="D294" s="54" t="s">
        <v>108</v>
      </c>
      <c r="E294" s="83">
        <f>ROUND(2/30,2)</f>
        <v>0.07</v>
      </c>
      <c r="F294" s="83">
        <v>3864.96</v>
      </c>
      <c r="G294" s="83">
        <f t="shared" si="22"/>
        <v>270.55</v>
      </c>
      <c r="H294" s="16"/>
      <c r="I294" s="89" t="s">
        <v>780</v>
      </c>
      <c r="J294" s="135"/>
    </row>
    <row r="295" spans="1:10" s="34" customFormat="1" ht="75" customHeight="1">
      <c r="A295" s="52" t="s">
        <v>834</v>
      </c>
      <c r="B295" s="54" t="s">
        <v>203</v>
      </c>
      <c r="C295" s="55" t="s">
        <v>204</v>
      </c>
      <c r="D295" s="54" t="s">
        <v>7</v>
      </c>
      <c r="E295" s="83">
        <v>8</v>
      </c>
      <c r="F295" s="83">
        <v>61.04</v>
      </c>
      <c r="G295" s="83">
        <f t="shared" si="22"/>
        <v>488.32</v>
      </c>
      <c r="H295" s="16"/>
      <c r="I295" s="89" t="s">
        <v>713</v>
      </c>
      <c r="J295" s="135"/>
    </row>
    <row r="296" spans="1:10" s="34" customFormat="1" ht="30" customHeight="1">
      <c r="A296" s="52" t="s">
        <v>835</v>
      </c>
      <c r="B296" s="54" t="s">
        <v>73</v>
      </c>
      <c r="C296" s="55" t="s">
        <v>205</v>
      </c>
      <c r="D296" s="54" t="s">
        <v>7</v>
      </c>
      <c r="E296" s="83">
        <v>1</v>
      </c>
      <c r="F296" s="83">
        <v>47.37</v>
      </c>
      <c r="G296" s="83">
        <f t="shared" si="22"/>
        <v>47.37</v>
      </c>
      <c r="H296" s="16"/>
      <c r="I296" s="89" t="s">
        <v>696</v>
      </c>
      <c r="J296" s="135"/>
    </row>
    <row r="297" spans="1:10" s="34" customFormat="1" ht="30" customHeight="1">
      <c r="A297" s="52" t="s">
        <v>836</v>
      </c>
      <c r="B297" s="54" t="s">
        <v>74</v>
      </c>
      <c r="C297" s="55" t="s">
        <v>206</v>
      </c>
      <c r="D297" s="54" t="s">
        <v>7</v>
      </c>
      <c r="E297" s="83">
        <v>1</v>
      </c>
      <c r="F297" s="83">
        <v>28.69</v>
      </c>
      <c r="G297" s="83">
        <f t="shared" si="22"/>
        <v>28.69</v>
      </c>
      <c r="H297" s="16"/>
      <c r="I297" s="89" t="s">
        <v>696</v>
      </c>
      <c r="J297" s="135"/>
    </row>
    <row r="298" spans="1:10" s="34" customFormat="1" ht="30" customHeight="1">
      <c r="A298" s="52" t="s">
        <v>837</v>
      </c>
      <c r="B298" s="54" t="s">
        <v>54</v>
      </c>
      <c r="C298" s="55" t="s">
        <v>207</v>
      </c>
      <c r="D298" s="54" t="s">
        <v>7</v>
      </c>
      <c r="E298" s="83">
        <v>2</v>
      </c>
      <c r="F298" s="83">
        <v>37.1</v>
      </c>
      <c r="G298" s="83">
        <f t="shared" si="22"/>
        <v>74.2</v>
      </c>
      <c r="H298" s="16"/>
      <c r="I298" s="89" t="s">
        <v>705</v>
      </c>
      <c r="J298" s="135"/>
    </row>
    <row r="299" spans="1:10" s="34" customFormat="1" ht="60" customHeight="1">
      <c r="A299" s="52" t="s">
        <v>838</v>
      </c>
      <c r="B299" s="54" t="s">
        <v>686</v>
      </c>
      <c r="C299" s="55" t="s">
        <v>687</v>
      </c>
      <c r="D299" s="54" t="s">
        <v>7</v>
      </c>
      <c r="E299" s="83">
        <v>1</v>
      </c>
      <c r="F299" s="83">
        <v>130.93</v>
      </c>
      <c r="G299" s="83">
        <f t="shared" si="22"/>
        <v>130.93</v>
      </c>
      <c r="H299" s="16"/>
      <c r="I299" s="89" t="s">
        <v>697</v>
      </c>
      <c r="J299" s="135"/>
    </row>
    <row r="300" spans="1:10" s="34" customFormat="1" ht="75" customHeight="1">
      <c r="A300" s="52" t="s">
        <v>839</v>
      </c>
      <c r="B300" s="54" t="s">
        <v>78</v>
      </c>
      <c r="C300" s="55" t="s">
        <v>688</v>
      </c>
      <c r="D300" s="54" t="s">
        <v>32</v>
      </c>
      <c r="E300" s="39">
        <f>ROUND((0.1*0.3*0.8)+(0.9*0.2*0.05),2)</f>
        <v>0.03</v>
      </c>
      <c r="F300" s="83">
        <v>2325.44</v>
      </c>
      <c r="G300" s="83">
        <f t="shared" si="22"/>
        <v>69.76</v>
      </c>
      <c r="H300" s="16"/>
      <c r="I300" s="89" t="s">
        <v>698</v>
      </c>
      <c r="J300" s="135"/>
    </row>
    <row r="301" spans="1:10" s="34" customFormat="1" ht="60" customHeight="1">
      <c r="A301" s="52" t="s">
        <v>840</v>
      </c>
      <c r="B301" s="54" t="s">
        <v>689</v>
      </c>
      <c r="C301" s="55" t="s">
        <v>690</v>
      </c>
      <c r="D301" s="54" t="s">
        <v>6</v>
      </c>
      <c r="E301" s="39">
        <f>ROUND(1.5*0.8,2)</f>
        <v>1.2</v>
      </c>
      <c r="F301" s="83">
        <v>58.72</v>
      </c>
      <c r="G301" s="83">
        <f t="shared" si="22"/>
        <v>70.46</v>
      </c>
      <c r="H301" s="16"/>
      <c r="I301" s="89" t="s">
        <v>699</v>
      </c>
      <c r="J301" s="135"/>
    </row>
    <row r="302" spans="1:10" s="34" customFormat="1" ht="45" customHeight="1">
      <c r="A302" s="52" t="s">
        <v>841</v>
      </c>
      <c r="B302" s="54" t="s">
        <v>208</v>
      </c>
      <c r="C302" s="55" t="s">
        <v>691</v>
      </c>
      <c r="D302" s="54" t="s">
        <v>6</v>
      </c>
      <c r="E302" s="39">
        <f>ROUND((1.5*0.8)+(0.1*1.5*2),2)</f>
        <v>1.5</v>
      </c>
      <c r="F302" s="83">
        <v>32.56</v>
      </c>
      <c r="G302" s="83">
        <f t="shared" si="22"/>
        <v>48.84</v>
      </c>
      <c r="H302" s="16"/>
      <c r="I302" s="89" t="s">
        <v>700</v>
      </c>
      <c r="J302" s="135"/>
    </row>
    <row r="303" spans="1:10" s="34" customFormat="1" ht="45" customHeight="1">
      <c r="A303" s="52" t="s">
        <v>842</v>
      </c>
      <c r="B303" s="54" t="s">
        <v>692</v>
      </c>
      <c r="C303" s="55" t="s">
        <v>693</v>
      </c>
      <c r="D303" s="54" t="s">
        <v>6</v>
      </c>
      <c r="E303" s="39">
        <f>E302</f>
        <v>1.5</v>
      </c>
      <c r="F303" s="83">
        <v>14.91</v>
      </c>
      <c r="G303" s="83">
        <f t="shared" si="22"/>
        <v>22.37</v>
      </c>
      <c r="H303" s="16"/>
      <c r="I303" s="89" t="s">
        <v>700</v>
      </c>
      <c r="J303" s="135"/>
    </row>
    <row r="304" spans="1:10" s="34" customFormat="1" ht="45" customHeight="1">
      <c r="A304" s="52" t="s">
        <v>843</v>
      </c>
      <c r="B304" s="54" t="s">
        <v>694</v>
      </c>
      <c r="C304" s="55" t="s">
        <v>695</v>
      </c>
      <c r="D304" s="54" t="s">
        <v>18</v>
      </c>
      <c r="E304" s="39">
        <f>ROUND((4*4.5)+(1.5*4)+(1.5*1),2)</f>
        <v>25.5</v>
      </c>
      <c r="F304" s="83">
        <v>7.84</v>
      </c>
      <c r="G304" s="83">
        <f t="shared" si="22"/>
        <v>199.92</v>
      </c>
      <c r="H304" s="16"/>
      <c r="I304" s="89" t="s">
        <v>710</v>
      </c>
      <c r="J304" s="135"/>
    </row>
    <row r="305" spans="1:10" s="34" customFormat="1" ht="60" customHeight="1">
      <c r="A305" s="52" t="s">
        <v>844</v>
      </c>
      <c r="B305" s="54" t="s">
        <v>209</v>
      </c>
      <c r="C305" s="55" t="s">
        <v>210</v>
      </c>
      <c r="D305" s="54" t="s">
        <v>18</v>
      </c>
      <c r="E305" s="39">
        <f>ROUND((6+18)+(2.4*6)+(6+11+18)+(2.4*6),2)</f>
        <v>87.8</v>
      </c>
      <c r="F305" s="83">
        <v>9.45</v>
      </c>
      <c r="G305" s="83">
        <f t="shared" si="22"/>
        <v>829.71</v>
      </c>
      <c r="H305" s="16"/>
      <c r="I305" s="89" t="s">
        <v>711</v>
      </c>
      <c r="J305" s="135"/>
    </row>
    <row r="306" spans="1:10" s="34" customFormat="1" ht="45" customHeight="1">
      <c r="A306" s="52" t="s">
        <v>845</v>
      </c>
      <c r="B306" s="54" t="s">
        <v>211</v>
      </c>
      <c r="C306" s="55" t="s">
        <v>212</v>
      </c>
      <c r="D306" s="54" t="s">
        <v>18</v>
      </c>
      <c r="E306" s="39">
        <f>ROUND((6*2)+(3*2),2)</f>
        <v>18</v>
      </c>
      <c r="F306" s="83">
        <v>10.57</v>
      </c>
      <c r="G306" s="83">
        <f t="shared" si="22"/>
        <v>190.26</v>
      </c>
      <c r="H306" s="16"/>
      <c r="I306" s="89" t="s">
        <v>712</v>
      </c>
      <c r="J306" s="135"/>
    </row>
    <row r="307" spans="1:10" s="34" customFormat="1" ht="90" customHeight="1">
      <c r="A307" s="90" t="s">
        <v>846</v>
      </c>
      <c r="B307" s="54" t="s">
        <v>72</v>
      </c>
      <c r="C307" s="55" t="s">
        <v>213</v>
      </c>
      <c r="D307" s="54" t="s">
        <v>7</v>
      </c>
      <c r="E307" s="39">
        <v>1</v>
      </c>
      <c r="F307" s="83">
        <v>736.18</v>
      </c>
      <c r="G307" s="83">
        <f t="shared" si="22"/>
        <v>736.18</v>
      </c>
      <c r="H307" s="16"/>
      <c r="I307" s="89" t="s">
        <v>701</v>
      </c>
      <c r="J307" s="135"/>
    </row>
    <row r="308" spans="1:10" s="34" customFormat="1" ht="15" customHeight="1">
      <c r="A308" s="94" t="s">
        <v>847</v>
      </c>
      <c r="B308" s="57" t="s">
        <v>862</v>
      </c>
      <c r="C308" s="38" t="s">
        <v>863</v>
      </c>
      <c r="D308" s="57" t="s">
        <v>108</v>
      </c>
      <c r="E308" s="39">
        <v>0.03</v>
      </c>
      <c r="F308" s="83">
        <v>4157.12</v>
      </c>
      <c r="G308" s="83">
        <f>ROUND(E308*F308,2)</f>
        <v>124.71</v>
      </c>
      <c r="H308" s="16"/>
      <c r="I308" s="89"/>
      <c r="J308" s="135"/>
    </row>
    <row r="309" spans="1:11" s="34" customFormat="1" ht="45" customHeight="1">
      <c r="A309" s="94" t="s">
        <v>848</v>
      </c>
      <c r="B309" s="91" t="s">
        <v>31</v>
      </c>
      <c r="C309" s="92" t="s">
        <v>221</v>
      </c>
      <c r="D309" s="91" t="s">
        <v>6</v>
      </c>
      <c r="E309" s="128">
        <f>ROUND((2*3.14*0.025*11*2*2)+(2*3.14*0.025*2*6*2)+(2*3.14*0.025*22.5*2*2)+(2*3.14*0.025*2*7*2)+(2*3.14*0.05*5.5*3),2)</f>
        <v>34.38</v>
      </c>
      <c r="F309" s="93">
        <v>19.31</v>
      </c>
      <c r="G309" s="93">
        <f t="shared" si="22"/>
        <v>663.88</v>
      </c>
      <c r="H309" s="16"/>
      <c r="I309" s="89" t="s">
        <v>652</v>
      </c>
      <c r="J309" s="89"/>
      <c r="K309" s="104"/>
    </row>
    <row r="310" spans="1:10" s="34" customFormat="1" ht="45" customHeight="1">
      <c r="A310" s="16" t="s">
        <v>849</v>
      </c>
      <c r="B310" s="95" t="s">
        <v>76</v>
      </c>
      <c r="C310" s="96" t="s">
        <v>222</v>
      </c>
      <c r="D310" s="95" t="s">
        <v>6</v>
      </c>
      <c r="E310" s="97">
        <f>ROUND(22.5*11,2)</f>
        <v>247.5</v>
      </c>
      <c r="F310" s="97">
        <v>14.1</v>
      </c>
      <c r="G310" s="97">
        <f t="shared" si="22"/>
        <v>3489.75</v>
      </c>
      <c r="H310" s="16"/>
      <c r="I310" s="89" t="s">
        <v>319</v>
      </c>
      <c r="J310" s="135"/>
    </row>
    <row r="311" spans="1:10" s="34" customFormat="1" ht="60" customHeight="1">
      <c r="A311" s="16" t="s">
        <v>850</v>
      </c>
      <c r="B311" s="95" t="s">
        <v>320</v>
      </c>
      <c r="C311" s="96" t="s">
        <v>321</v>
      </c>
      <c r="D311" s="95" t="s">
        <v>6</v>
      </c>
      <c r="E311" s="97">
        <f>ROUND((78*0.1)+(11.62*0.1)+(15.55*0.1*2)+(22.76*0.1*2)+(72*0.1),2)</f>
        <v>23.82</v>
      </c>
      <c r="F311" s="97">
        <v>61.07</v>
      </c>
      <c r="G311" s="97">
        <f t="shared" si="22"/>
        <v>1454.69</v>
      </c>
      <c r="H311" s="16"/>
      <c r="I311" s="89" t="s">
        <v>322</v>
      </c>
      <c r="J311" s="135"/>
    </row>
    <row r="312" spans="1:10" s="34" customFormat="1" ht="90" customHeight="1">
      <c r="A312" s="16" t="s">
        <v>864</v>
      </c>
      <c r="B312" s="57" t="s">
        <v>707</v>
      </c>
      <c r="C312" s="38" t="s">
        <v>708</v>
      </c>
      <c r="D312" s="57" t="s">
        <v>6</v>
      </c>
      <c r="E312" s="39">
        <f>ROUND((6*1.3*12)+(13*1.7*2*12)+(28*0.25*12)+(24.5*0.5*8),2)</f>
        <v>806</v>
      </c>
      <c r="F312" s="39">
        <v>24.55</v>
      </c>
      <c r="G312" s="39">
        <v>18724.22</v>
      </c>
      <c r="H312" s="16"/>
      <c r="I312" s="89" t="s">
        <v>709</v>
      </c>
      <c r="J312" s="135"/>
    </row>
    <row r="313" spans="1:8" ht="19.5" customHeight="1" thickBot="1">
      <c r="A313" s="10"/>
      <c r="B313" s="10"/>
      <c r="C313" s="13"/>
      <c r="D313" s="10"/>
      <c r="E313" s="14"/>
      <c r="F313" s="14"/>
      <c r="G313" s="14"/>
      <c r="H313" s="16"/>
    </row>
    <row r="314" spans="1:10" s="41" customFormat="1" ht="19.5" customHeight="1">
      <c r="A314" s="43"/>
      <c r="B314" s="44"/>
      <c r="C314" s="43"/>
      <c r="D314" s="43"/>
      <c r="E314" s="45"/>
      <c r="F314" s="46" t="s">
        <v>89</v>
      </c>
      <c r="G314" s="47">
        <f>ROUND(G14+G44+G164,2)</f>
        <v>1626558.56</v>
      </c>
      <c r="H314" s="40"/>
      <c r="J314" s="42"/>
    </row>
    <row r="315" spans="1:10" s="41" customFormat="1" ht="19.5" customHeight="1" thickBot="1">
      <c r="A315" s="48"/>
      <c r="B315" s="49"/>
      <c r="C315" s="149">
        <v>18.58</v>
      </c>
      <c r="D315" s="149"/>
      <c r="E315" s="149"/>
      <c r="F315" s="149"/>
      <c r="G315" s="50">
        <f>G314*0.01*C315</f>
        <v>302214.580448</v>
      </c>
      <c r="H315" s="40"/>
      <c r="J315" s="42"/>
    </row>
    <row r="316" spans="1:10" s="41" customFormat="1" ht="18.75" customHeight="1" thickTop="1">
      <c r="A316" s="68"/>
      <c r="B316" s="69"/>
      <c r="C316" s="68"/>
      <c r="D316" s="68"/>
      <c r="E316" s="70"/>
      <c r="F316" s="71" t="s">
        <v>90</v>
      </c>
      <c r="G316" s="72">
        <f>G315+G314</f>
        <v>1928773.140448</v>
      </c>
      <c r="H316" s="73"/>
      <c r="J316" s="42"/>
    </row>
    <row r="317" spans="1:10" s="34" customFormat="1" ht="15" customHeight="1">
      <c r="A317" s="16"/>
      <c r="B317" s="16"/>
      <c r="C317" s="38"/>
      <c r="D317" s="16"/>
      <c r="E317" s="39"/>
      <c r="F317" s="39"/>
      <c r="G317" s="39"/>
      <c r="H317" s="16"/>
      <c r="I317" s="135"/>
      <c r="J317" s="135"/>
    </row>
    <row r="318" spans="1:10" s="34" customFormat="1" ht="15" customHeight="1">
      <c r="A318" s="16"/>
      <c r="B318" s="16"/>
      <c r="C318" s="38"/>
      <c r="D318" s="147" t="s">
        <v>93</v>
      </c>
      <c r="E318" s="147"/>
      <c r="F318" s="147"/>
      <c r="G318" s="147"/>
      <c r="H318" s="16"/>
      <c r="I318" s="135"/>
      <c r="J318" s="135"/>
    </row>
    <row r="319" spans="4:7" ht="19.5" customHeight="1">
      <c r="D319" s="160" t="s">
        <v>91</v>
      </c>
      <c r="E319" s="161"/>
      <c r="F319" s="162">
        <f>ROUND((G14+G44)*1.1858,2)</f>
        <v>1234238.97</v>
      </c>
      <c r="G319" s="163"/>
    </row>
    <row r="320" spans="3:7" ht="19.5" customHeight="1">
      <c r="C320" s="51"/>
      <c r="D320" s="158" t="s">
        <v>92</v>
      </c>
      <c r="E320" s="159"/>
      <c r="F320" s="164">
        <f>ROUND((G164)*1.1858,2)</f>
        <v>694534.17</v>
      </c>
      <c r="G320" s="165"/>
    </row>
    <row r="321" spans="3:5" ht="12.75">
      <c r="C321" s="51"/>
      <c r="D321" s="151"/>
      <c r="E321" s="151"/>
    </row>
    <row r="322" spans="6:7" ht="15.75" customHeight="1">
      <c r="F322" s="157"/>
      <c r="G322" s="151"/>
    </row>
    <row r="329" ht="12.75">
      <c r="G329" s="56"/>
    </row>
  </sheetData>
  <sheetProtection/>
  <mergeCells count="16">
    <mergeCell ref="F322:G322"/>
    <mergeCell ref="D320:E320"/>
    <mergeCell ref="D321:E321"/>
    <mergeCell ref="D319:E319"/>
    <mergeCell ref="F319:G319"/>
    <mergeCell ref="F320:G320"/>
    <mergeCell ref="D318:G318"/>
    <mergeCell ref="J185:J186"/>
    <mergeCell ref="C315:F315"/>
    <mergeCell ref="A1:G3"/>
    <mergeCell ref="F8:G8"/>
    <mergeCell ref="A11:G11"/>
    <mergeCell ref="A9:G10"/>
    <mergeCell ref="C4:D8"/>
    <mergeCell ref="C44:F44"/>
    <mergeCell ref="C164:F164"/>
  </mergeCells>
  <printOptions/>
  <pageMargins left="0" right="0" top="0.3937007874015748" bottom="0.5905511811023623" header="0.5118110236220472" footer="0.5118110236220472"/>
  <pageSetup orientation="portrait" paperSize="9" r:id="rId2"/>
  <headerFooter scaleWithDoc="0"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danilo.chagas</dc:creator>
  <cp:keywords/>
  <dc:description/>
  <cp:lastModifiedBy>Danilo Silva Chagas</cp:lastModifiedBy>
  <cp:lastPrinted>2023-07-06T15:01:46Z</cp:lastPrinted>
  <dcterms:created xsi:type="dcterms:W3CDTF">2013-01-08T16:51:16Z</dcterms:created>
  <dcterms:modified xsi:type="dcterms:W3CDTF">2023-07-13T12:53:00Z</dcterms:modified>
  <cp:category/>
  <cp:version/>
  <cp:contentType/>
  <cp:contentStatus/>
</cp:coreProperties>
</file>