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Materiais" sheetId="1" state="visible" r:id="rId2"/>
    <sheet name="Servente" sheetId="2" state="visible" r:id="rId3"/>
    <sheet name="Servente + Copeiro" sheetId="3" state="visible" r:id="rId4"/>
    <sheet name="Quadro Resumo" sheetId="4" state="visible" r:id="rId5"/>
  </sheets>
  <externalReferences>
    <externalReference r:id="rId6"/>
  </externalReferenc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<sst xmlns="http://schemas.openxmlformats.org/spreadsheetml/2006/main" count="566" uniqueCount="255">
  <si>
    <t xml:space="preserve">QUADRO RESUMO - UTENSÍLIOS E MATERIAIS DE CONSUMO</t>
  </si>
  <si>
    <t xml:space="preserve">UTENSÍLIOS </t>
  </si>
  <si>
    <t xml:space="preserve">ITEM</t>
  </si>
  <si>
    <t xml:space="preserve">DESCRIÇÃO DETALHADA</t>
  </si>
  <si>
    <t xml:space="preserve">UNIDADE</t>
  </si>
  <si>
    <t xml:space="preserve">QTD. </t>
  </si>
  <si>
    <t xml:space="preserve">R$  UNIT.</t>
  </si>
  <si>
    <t xml:space="preserve">R$ TOTAL </t>
  </si>
  <si>
    <t xml:space="preserve">VIDA ÚTIL (meses)</t>
  </si>
  <si>
    <t xml:space="preserve">R$ MENSAL</t>
  </si>
  <si>
    <t xml:space="preserve">R$ ANUAL</t>
  </si>
  <si>
    <t xml:space="preserve">COPOS DE ÁGUA DE VIDRO TRANSPARENTE - 300ML</t>
  </si>
  <si>
    <t xml:space="preserve">UN</t>
  </si>
  <si>
    <t xml:space="preserve">GARRAFA TÉRMICA DE AÇO INOXIDÁVEL, COM SISTEMA DE PRESSÃO - 1,8/1,9 LITRO</t>
  </si>
  <si>
    <t xml:space="preserve">UN </t>
  </si>
  <si>
    <t xml:space="preserve">JARRA DE AÇO INOXIDÁVEL - 2 LITROS</t>
  </si>
  <si>
    <t xml:space="preserve">PORTA-COPO DE AÇO INOXIDÁVEL (BASE PARA COPOS)</t>
  </si>
  <si>
    <t xml:space="preserve">XÍCARA DE CAFÉ COM PIRES DE PORCELANA NA COR BRANCA</t>
  </si>
  <si>
    <t xml:space="preserve">XÍCARA DE CHÁ COM PIRES DE PORCELANA NA COR BRANCA</t>
  </si>
  <si>
    <t xml:space="preserve"> TOTAL  UTENSÍLIOS DE COPEIRAGEM</t>
  </si>
  <si>
    <t xml:space="preserve">MATERIAIS DE CONSUMO</t>
  </si>
  <si>
    <t xml:space="preserve">QTD. MENSAL</t>
  </si>
  <si>
    <t xml:space="preserve">AÇÚCAR REFINADO - EMBALAGEM DE 1KG</t>
  </si>
  <si>
    <t xml:space="preserve">ADOÇANTE LÍQUIDO, TIPO SACARINA - FRASCO DE 100ML</t>
  </si>
  <si>
    <t xml:space="preserve">ÁGUA MINERAL ACONDICIONADA EM GARRAFÕES DE 20 LITROS</t>
  </si>
  <si>
    <t xml:space="preserve">CAFÉ TORRADO E MOÍDO DE BOA QUALIDADE - EMBALAGEM DE 500G</t>
  </si>
  <si>
    <t xml:space="preserve">CHÁ MATE - EMBALAGEM DE 250G</t>
  </si>
  <si>
    <t xml:space="preserve">COADOR PARA CAFETEIRA ELÉTRICA INDUSTRIAL Nº 03</t>
  </si>
  <si>
    <t xml:space="preserve">COPO DESCARTÁVEL PARA ÁGUA, COM CAPACIDADE PARA 200ML - CENTO</t>
  </si>
  <si>
    <t xml:space="preserve">COPO DESCARTÁVEL PARA CAFÉ, COM CAPACIDADE PARA 50ML - CENTO</t>
  </si>
  <si>
    <t xml:space="preserve">GUARDANAPO DE PAPEL NÃO RECICLÁVEL DE 1ª QUALIDADE - MEDINDO APROXIMADAMENTE 30 x 33CM - PACOTE COM 50 UNIDADES</t>
  </si>
  <si>
    <t xml:space="preserve">PALHETA PARA MEXER CAFÉ - PACOTE COM 500 UNIDADES</t>
  </si>
  <si>
    <t xml:space="preserve">GEL HIGIENIZANTE, A BASE DE ÁLCOOL 70%, REFIL DE 800 ML DO TIPO “BAG IN BOX”. MARCA COLUMBUS (99.2029) OU SIMILAR</t>
  </si>
  <si>
    <t xml:space="preserve">REFIL</t>
  </si>
  <si>
    <t xml:space="preserve">MÁSCARA CIRÚRGICA DESCARTÁVEL, 3 CAMADAS COM DOBRAS, MATERIAL SMS, FIXAÇÃO: TIRAS ELÁSTICAS, COM CLIPE NASAL, FILTRAÇÃO POR PARTÍCULAS MÍNIMA DE 95%, ESTERILIDADE: USO ÚNICO.</t>
  </si>
  <si>
    <t xml:space="preserve">PAPEL HIGIÊNICO TIPO ROLÃO COM 300 M X 10 CM, MACIO, RESISTENTE, COR BRANCA, COM GRAMATURA APROXIMADA ENTRE 25 A 30 G/M². MARCA COLUMBUS (99.2102) OU SIMILAR</t>
  </si>
  <si>
    <t xml:space="preserve">PAPEL PROTETOR DE ASSENTO SANITÁRIO DESCARTÁVEL, PARA DISPENSER GRANDE, COR BRANCA, MACIO, RESISTENTE, TAMANHO UNIVERSAL; REFIL COM 86 FOLHAS. MARCA COLUMBUS (99.2505) OU SIMILAR</t>
  </si>
  <si>
    <t xml:space="preserve">RECIPIENTE (DE MESA) PARA ÁLCOOL EM GEL E/OU SABONETE LÍQUIDO, EM PLÁSTICO, REUTILIZÁVEL, 450 A 500ML, COM BICO DOSADOR</t>
  </si>
  <si>
    <t xml:space="preserve">SABONETE LIQUIDO EM GEL (ANTISSÉPTICO), REFIL DE 800 ML DO TIPO "BAG IN BOX'', FRAGRÂNCIA NEUTRO. MARCA COLUMBUS (99.2030) OU SIMILAR</t>
  </si>
  <si>
    <t xml:space="preserve">SAQUINHOS PARA DESCARTE DE ABSORVENTE HIGIÊNICO; CAIXA COM 600 UNIDADES. MARCA COLUMBUS (99.2502) OU SIMILAR</t>
  </si>
  <si>
    <t xml:space="preserve">CX C/ 24 UN C/ 25 SAQUINHOS CADA</t>
  </si>
  <si>
    <t xml:space="preserve">SUPORTE (DISPENSER) PARA ÁLCOOL EM GEL, PARA REFIL DE 800 ML DO TIPO "BAG IN BOX", DE PLÁSTICO, COM FRENTE BRANCA, TRAVAS LATERAIS ACIONADAS POR PRESSÃO, NAS MEDIDAS APROXIMADAS DE 26 X 15 X 12 CM</t>
  </si>
  <si>
    <t xml:space="preserve">SUPORTE (DISPENSER) PARA PAPEL HIGIÊNICO ROLÃO DE 300 M X 10 CM, DE PLÁSTICO, COM FRENTE BRANCO, TRAVAS LATERAIS ACIONADAS POR PRESSÃO, NAS MEDIDAS APROXIMADAS DE 29 X 27 X 14 CM</t>
  </si>
  <si>
    <t xml:space="preserve">SUPORTE (DISPENSER) PARA PAPEL PROTETOR DE ASSENTO SANITÁRIO (GRANDE), DE PLÁSTICO, COM FRENTE BRANCA, NAS MEDIDAS APROXIMADAS DE 28 X 23 X 4 CM, COM CAPACIDADE PARA REFIL DE 86 FOLHAS</t>
  </si>
  <si>
    <t xml:space="preserve">SUPORTE (DISPENSER) PARA PAPEL TOALHA INTERFOLHADA DE DUAS DOBRAS, DE PLÁSTICO, COM FRENTE BRANCA, TRAVAS LATERAIS ACIONADAS POR PRESSÃO, NAS MEDIDAS APROXIMADAS DE 28 X 26 X 12 CM</t>
  </si>
  <si>
    <t xml:space="preserve">SUPORTE (DISPENSER) PARA SABONTE LÍQUIDO EM GEL, PARA REFIL DE 800 ML DO TIPO "BAG IN BOX", DE PLÁSTICO, COM FRENTE BRANCA, TRAVAS LATERAIS ACIONADAS POR PRESSÃO, NAS MEDIDAS APROXIMADAS DE 26 X 15 X 12 CM</t>
  </si>
  <si>
    <t xml:space="preserve">SUPORTE (DISPENSER) PARA SAQUINHO DE ABSORVENTE, DE PLÁSTICO, COM FRENTE BRANCA, NAS MEDIDAS APROXIMADAS DE 16 X 10 X 3,5 CM, COM CAPACIDADE PARA REFIL DE 25 UNIDADES</t>
  </si>
  <si>
    <t xml:space="preserve">TOALHA DE PAPEL INTERFOLHADAS, DUAS DOBRAS, MACIA, COR BRANCA, COM MEDIDAS APROXIMADAS DE 22,5 X 21 CM, COM GRAMATURA APROXIMADA DE 32 A 50 G/M² COM ALTA ABSORÇÃO; PACOTE COM 1000 FOLHAS. MARCA COLUMBUS (99.2105) OU SIMILAR</t>
  </si>
  <si>
    <t xml:space="preserve">PCT</t>
  </si>
  <si>
    <t xml:space="preserve"> TOTAL MATERIAIS DE CONSUMO</t>
  </si>
  <si>
    <t xml:space="preserve"> TOTAL  GERAL DE MATERIAIS, SUPORTES E UTENSÍLIOS</t>
  </si>
  <si>
    <t xml:space="preserve">Categoria profissional: AUXILIAR CUIDADOR</t>
  </si>
  <si>
    <t xml:space="preserve">Discriminação dos Serviços</t>
  </si>
  <si>
    <t xml:space="preserve">A</t>
  </si>
  <si>
    <t xml:space="preserve">Data de apresentação da proposta</t>
  </si>
  <si>
    <t xml:space="preserve">B</t>
  </si>
  <si>
    <t xml:space="preserve">Município</t>
  </si>
  <si>
    <t xml:space="preserve">Quissamã</t>
  </si>
  <si>
    <t xml:space="preserve">C</t>
  </si>
  <si>
    <t xml:space="preserve">Ano do Acordo, Convenção ou Dissídio Coletivo</t>
  </si>
  <si>
    <t xml:space="preserve">CONVENÇÃO COLETIVA DE TRABALHO 2022/2024 REGISTRO NO MTE RJ001132/2023</t>
  </si>
  <si>
    <t xml:space="preserve">D</t>
  </si>
  <si>
    <t xml:space="preserve">Nº de meses de execução contratual</t>
  </si>
  <si>
    <t xml:space="preserve">12 MESES</t>
  </si>
  <si>
    <t xml:space="preserve">Identificação do Serviço</t>
  </si>
  <si>
    <t xml:space="preserve">Tipo de Serviço</t>
  </si>
  <si>
    <t xml:space="preserve">Unidade de Medida</t>
  </si>
  <si>
    <t xml:space="preserve">Quantidade total a contratar (em função da unidade de medida)</t>
  </si>
  <si>
    <t xml:space="preserve">AUXILIAR CUIDADOR</t>
  </si>
  <si>
    <t xml:space="preserve">Posto</t>
  </si>
  <si>
    <t xml:space="preserve"> </t>
  </si>
  <si>
    <t xml:space="preserve">Tipo de serviço (mesmo serviço com características distintas)</t>
  </si>
  <si>
    <r>
      <rPr>
        <sz val="8"/>
        <color rgb="FF333333"/>
        <rFont val="Raleway;sans-serif"/>
        <family val="0"/>
        <charset val="1"/>
      </rPr>
      <t xml:space="preserve">Cuidam de crianças, jovens, adultos e idosos, a partir de objetivos estabelecidos, zelando pelo bem-estar, saúde,alimentação, higiene pessoal, educação, cultura, recreação e lazer da pessoa assistida.</t>
    </r>
    <r>
      <rPr>
        <sz val="8"/>
        <rFont val="Raleway;sans-serif"/>
        <family val="0"/>
        <charset val="1"/>
      </rPr>
      <t xml:space="preserve"> </t>
    </r>
  </si>
  <si>
    <t xml:space="preserve">Classificação Brasileira de Ocupações (CBO)</t>
  </si>
  <si>
    <t xml:space="preserve"> CBO 5162-10</t>
  </si>
  <si>
    <t xml:space="preserve">Salário Nominativo da Categoria Profissional</t>
  </si>
  <si>
    <t xml:space="preserve">Categoria profissional (vinculada à execução contratual)</t>
  </si>
  <si>
    <t xml:space="preserve">Data base da categoria (dia/mês/ano)</t>
  </si>
  <si>
    <t xml:space="preserve">01 DE MARÇO</t>
  </si>
  <si>
    <t xml:space="preserve">MÓDULO 1 - COMPOSIÇÃO DA REMUNERAÇÃO</t>
  </si>
  <si>
    <t xml:space="preserve">COMPOSIÇÃO DA REMUNERAÇÃO</t>
  </si>
  <si>
    <t xml:space="preserve">%</t>
  </si>
  <si>
    <t xml:space="preserve">VALOR (R$)</t>
  </si>
  <si>
    <t xml:space="preserve">Salário Base</t>
  </si>
  <si>
    <t xml:space="preserve">Adicional Periculosidade </t>
  </si>
  <si>
    <t xml:space="preserve">Adicional Insalubridade Cláusula décima nona letra “a” Observação carece de laudo pericial SESMT</t>
  </si>
  <si>
    <t xml:space="preserve">Adicional Noturno </t>
  </si>
  <si>
    <t xml:space="preserve">E</t>
  </si>
  <si>
    <t xml:space="preserve">Adicional de Hora Noturna Reduzida </t>
  </si>
  <si>
    <t xml:space="preserve">F</t>
  </si>
  <si>
    <t xml:space="preserve">Outros (especificar)   </t>
  </si>
  <si>
    <t xml:space="preserve">TOTAL DO MÓDULO 1</t>
  </si>
  <si>
    <t xml:space="preserve">MÓDULO 2 – ENCARGOS E BENEFÍCIOS ANUAIS, MENSAIS E DIÁRIOS</t>
  </si>
  <si>
    <t xml:space="preserve">Submódulo 2.1 - 13º Salário, Férias e Adicional de Férias</t>
  </si>
  <si>
    <t xml:space="preserve">13 (Décimo terceiro) salário (Percentual obrigatório conforme Anexo XII - IN 5/17)</t>
  </si>
  <si>
    <t xml:space="preserve">Férias e Adicional de Férias  (Percentual obrigatório conforme Anexo XII - IN 5/17)</t>
  </si>
  <si>
    <t xml:space="preserve">substituto</t>
  </si>
  <si>
    <t xml:space="preserve">férias 8,33/12 e terço férias 2,77/12</t>
  </si>
  <si>
    <t xml:space="preserve">TOTAL SUBMÓDULO 2.1</t>
  </si>
  <si>
    <t xml:space="preserve">Submódulo 2.2 - GPS, FGTS e Outras Contribuições</t>
  </si>
  <si>
    <t xml:space="preserve">INSS </t>
  </si>
  <si>
    <t xml:space="preserve">Salário Educação </t>
  </si>
  <si>
    <t xml:space="preserve">valor base rem. + modulo 2.</t>
  </si>
  <si>
    <t xml:space="preserve">SAT (Seguro Acidente de Trabalho)</t>
  </si>
  <si>
    <t xml:space="preserve">SESC ou SESI</t>
  </si>
  <si>
    <t xml:space="preserve">SENAI - SENAC </t>
  </si>
  <si>
    <t xml:space="preserve">SEBRAE </t>
  </si>
  <si>
    <t xml:space="preserve">G</t>
  </si>
  <si>
    <t xml:space="preserve">INCRA </t>
  </si>
  <si>
    <t xml:space="preserve">H</t>
  </si>
  <si>
    <t xml:space="preserve">FGTS </t>
  </si>
  <si>
    <t xml:space="preserve">TOTAL SUBMÓDULO 2.2</t>
  </si>
  <si>
    <t xml:space="preserve">Submódulo 2.3 - Benefícios Mensais e Diários</t>
  </si>
  <si>
    <t xml:space="preserve">Transporte </t>
  </si>
  <si>
    <t xml:space="preserve">-</t>
  </si>
  <si>
    <t xml:space="preserve">Auxílio-Alimentação (22 dias x R$ 22,50) Cláusula vigésima segunda</t>
  </si>
  <si>
    <t xml:space="preserve">Benefício Social Familiar cláusula vigésima oitava</t>
  </si>
  <si>
    <t xml:space="preserve">Auxílio Saúde</t>
  </si>
  <si>
    <t xml:space="preserve">Seguro de Vida</t>
  </si>
  <si>
    <t xml:space="preserve">Outros (especificar)</t>
  </si>
  <si>
    <t xml:space="preserve">TOTAL SUBMÓDULO 2.3</t>
  </si>
  <si>
    <t xml:space="preserve">QUADRO-RESUMO DO MÓDULO 2 - ENCARGOS, BENEFÍCIOS ANUAIS, MENSAIS E DIÁRIOS</t>
  </si>
  <si>
    <t xml:space="preserve">Módulo 2 - Encargos, Benefícios Anuais, Mensais e Diários</t>
  </si>
  <si>
    <t xml:space="preserve">2.1</t>
  </si>
  <si>
    <t xml:space="preserve">13º Salário, Férias e Adicional de Férias</t>
  </si>
  <si>
    <t xml:space="preserve">2.2</t>
  </si>
  <si>
    <t xml:space="preserve">GPS, FGTS e Outras Contribuições</t>
  </si>
  <si>
    <t xml:space="preserve">2.3</t>
  </si>
  <si>
    <t xml:space="preserve">Benefícios Mensais e Diários</t>
  </si>
  <si>
    <t xml:space="preserve">TOTAL DO MÓDULO 2</t>
  </si>
  <si>
    <t xml:space="preserve">MÓDULO 3 – PROVISÃO PARA RESCISÃO</t>
  </si>
  <si>
    <t xml:space="preserve">PROVISÃO PARA RESCISÃO</t>
  </si>
  <si>
    <t xml:space="preserve">Aviso Prévio Indenizado</t>
  </si>
  <si>
    <t xml:space="preserve">Incidência do FGTS sobre Aviso Prévio Indenizado</t>
  </si>
  <si>
    <t xml:space="preserve">Aviso Prévio Trabalhado </t>
  </si>
  <si>
    <t xml:space="preserve">Incidência de GPS, FGTS e outras contribuições sobre o Aviso Prévio Trabalhado</t>
  </si>
  <si>
    <t xml:space="preserve">36,80 % módulo 2.2</t>
  </si>
  <si>
    <t xml:space="preserve">Multa sobre FGTS e contribuição social sobre o aviso prévio indenizado e sobre o aviso prévio trabalhado  (Alterado conforme Lei  nº  13.932/2019 )</t>
  </si>
  <si>
    <t xml:space="preserve">40% valor remuneração</t>
  </si>
  <si>
    <t xml:space="preserve">TOTAL DO MÓDULO 3</t>
  </si>
  <si>
    <t xml:space="preserve">MÓDULO 4 – CUSTO DE REPOSIÇÃO DO PROFISSIONAL AUSENTE</t>
  </si>
  <si>
    <t xml:space="preserve">Submódulo 4.1 - Substituto nas Ausências Legais</t>
  </si>
  <si>
    <t xml:space="preserve">Substituto na cobertura de Férias</t>
  </si>
  <si>
    <t xml:space="preserve">Substituto na cobertura de Ausências Legais</t>
  </si>
  <si>
    <t xml:space="preserve">13 /12=8,33/12=0,70</t>
  </si>
  <si>
    <t xml:space="preserve">Substituto na cobertura de Licença-Paternidade</t>
  </si>
  <si>
    <t xml:space="preserve">Substituto na cobertura de Ausência por acidente de trabalho</t>
  </si>
  <si>
    <t xml:space="preserve">Substituto na cobertura de Afastamento Maternidade</t>
  </si>
  <si>
    <t xml:space="preserve">Substituto na cobertura de Outras ausências (especificar)</t>
  </si>
  <si>
    <t xml:space="preserve">TOTAL SUBMÓDULO 4.1</t>
  </si>
  <si>
    <t xml:space="preserve">Submódulo 4.2 - Intrajornada</t>
  </si>
  <si>
    <t xml:space="preserve"> Substituto na cobertura de Intervalo para repouso ou alimentação</t>
  </si>
  <si>
    <t xml:space="preserve">TOTAL SUBMÓDULO 4.2</t>
  </si>
  <si>
    <t xml:space="preserve">QUADRO-RESUMO DO MÓDULO 4 - CUSTO DE REPOSIÇÃO DO PROFISSIONAL AUSENTE</t>
  </si>
  <si>
    <t xml:space="preserve">Módulo 4 - Custo de Reposição do Profissional Ausente</t>
  </si>
  <si>
    <t xml:space="preserve">4.1</t>
  </si>
  <si>
    <t xml:space="preserve">Substituto nas Ausências Legais</t>
  </si>
  <si>
    <t xml:space="preserve">4.2</t>
  </si>
  <si>
    <t xml:space="preserve">Substituto na Intrajornada</t>
  </si>
  <si>
    <t xml:space="preserve">TOTAL DO MÓDULO 4</t>
  </si>
  <si>
    <t xml:space="preserve">MÓDULO 5 – INSUMOS DIVERSOS</t>
  </si>
  <si>
    <t xml:space="preserve">INSUMOS DIVERSOS</t>
  </si>
  <si>
    <t xml:space="preserve">Insumo dos Uniformes </t>
  </si>
  <si>
    <t xml:space="preserve">remuneração + 13+ férias+ encargos +ausencias legais</t>
  </si>
  <si>
    <t xml:space="preserve">aviso préio</t>
  </si>
  <si>
    <t xml:space="preserve">Insumo de Materiais</t>
  </si>
  <si>
    <t xml:space="preserve">acima identico- lucro presumido pis cofins</t>
  </si>
  <si>
    <t xml:space="preserve">menos lucro</t>
  </si>
  <si>
    <t xml:space="preserve">Utensílios</t>
  </si>
  <si>
    <t xml:space="preserve">TOTAL DO MÓDULO 5</t>
  </si>
  <si>
    <t xml:space="preserve">MÓDULO 6 – CUSTOS INDIRETOS, TRIBUTOS E LUCRO</t>
  </si>
  <si>
    <t xml:space="preserve">CUSTOS INDIRETOS, TRIBUTOS E LUCRO</t>
  </si>
  <si>
    <t xml:space="preserve">Custos Indiretos</t>
  </si>
  <si>
    <t xml:space="preserve">Lucro</t>
  </si>
  <si>
    <t xml:space="preserve">TRIBUTOS</t>
  </si>
  <si>
    <t xml:space="preserve">C.1</t>
  </si>
  <si>
    <t xml:space="preserve">PIS (Lucro Presumido)</t>
  </si>
  <si>
    <t xml:space="preserve">C.2</t>
  </si>
  <si>
    <t xml:space="preserve">COFINS (Lucro Presumido)</t>
  </si>
  <si>
    <t xml:space="preserve">C.3</t>
  </si>
  <si>
    <t xml:space="preserve">ISS</t>
  </si>
  <si>
    <t xml:space="preserve">TOTAL CUSTO EMPREGADO</t>
  </si>
  <si>
    <t xml:space="preserve">TOTAL DO MÓDULO 6</t>
  </si>
  <si>
    <t xml:space="preserve">a)</t>
  </si>
  <si>
    <t xml:space="preserve">Tributos % = To = .............................................................</t>
  </si>
  <si>
    <t xml:space="preserve">b)</t>
  </si>
  <si>
    <t xml:space="preserve">(Total dos Módulos 1, 2, 3, 4 e 5+ Custos indiretos + lucro)= Po = ...................................</t>
  </si>
  <si>
    <t xml:space="preserve">c)</t>
  </si>
  <si>
    <t xml:space="preserve">Po / (1 - To) = P1 = ..............................................................................</t>
  </si>
  <si>
    <t xml:space="preserve">Valor dos Tributos = P1 - Po</t>
  </si>
  <si>
    <t xml:space="preserve">QUADRO RESUMO DO CUSTO POR EMPREGADO</t>
  </si>
  <si>
    <t xml:space="preserve">Mão-de-Obra vinculada à execução contratual (valor por empregado)</t>
  </si>
  <si>
    <t xml:space="preserve">rem. Base</t>
  </si>
  <si>
    <t xml:space="preserve">encargos</t>
  </si>
  <si>
    <t xml:space="preserve">aviso previo</t>
  </si>
  <si>
    <t xml:space="preserve">ausencias legais</t>
  </si>
  <si>
    <t xml:space="preserve">Subtotal (A + B + C + D + E)</t>
  </si>
  <si>
    <t xml:space="preserve">custos indiretos , lucro, e tributos</t>
  </si>
  <si>
    <t xml:space="preserve">PREÇO TOTAL POR EMPREGADO</t>
  </si>
  <si>
    <t xml:space="preserve">Valor Mensal</t>
  </si>
  <si>
    <t xml:space="preserve">PREGÃO N.º ____/202_</t>
  </si>
  <si>
    <t xml:space="preserve">IN 05/2017/SEGES/MPDG - ANEXO VII-D</t>
  </si>
  <si>
    <t xml:space="preserve">PLANILHA DE CUSTOS E FORMAÇÃO DE PREÇOS</t>
  </si>
  <si>
    <t xml:space="preserve">Nº do Processo 00066.019420/2020-57</t>
  </si>
  <si>
    <t xml:space="preserve">Categoria profissional: Servente com Função Copeiro</t>
  </si>
  <si>
    <t xml:space="preserve">SÃO PAULO</t>
  </si>
  <si>
    <t xml:space="preserve">2020 (SP000793/2020)</t>
  </si>
  <si>
    <t xml:space="preserve">Asseio, conservação e limpeza</t>
  </si>
  <si>
    <t xml:space="preserve">Dados para composição dos custos referentes à mão-de-obra</t>
  </si>
  <si>
    <t xml:space="preserve">Asseio, limpeza e conservação predial</t>
  </si>
  <si>
    <t xml:space="preserve">5143-20</t>
  </si>
  <si>
    <t xml:space="preserve">Servente</t>
  </si>
  <si>
    <t xml:space="preserve">Adicional Insalubridade</t>
  </si>
  <si>
    <t xml:space="preserve">Adicional Noturno</t>
  </si>
  <si>
    <t xml:space="preserve">Adicional de Hora Noturna Reduzida</t>
  </si>
  <si>
    <t xml:space="preserve">Outros (Adicional de acúmulo de função - Copeiragem)</t>
  </si>
  <si>
    <t xml:space="preserve">13 (Décimo-terceiro) salário (Percentual obrigatório conforme Anexo XII - IN 5/17)</t>
  </si>
  <si>
    <t xml:space="preserve">Transporte (R$ 4,83 x 2 x 22 - 6% x SalBase)</t>
  </si>
  <si>
    <t xml:space="preserve">Auxílio-Refeição/Alimentação e Cesta Básica [(R$ 15,93 - R$ 1,11) x 22 + R$ 110,94]  </t>
  </si>
  <si>
    <t xml:space="preserve">Benefício Social Familiar e Benefício Natalidade (R$ 9,74 + R$ 3,93)</t>
  </si>
  <si>
    <t xml:space="preserve">LIMPEZA + COPEIRAGEM</t>
  </si>
  <si>
    <t xml:space="preserve">PCFP</t>
  </si>
  <si>
    <r>
      <rPr>
        <b val="true"/>
        <sz val="14"/>
        <color rgb="FF000000"/>
        <rFont val="Calibri"/>
        <family val="2"/>
        <charset val="1"/>
      </rPr>
      <t xml:space="preserve">VALOR POR M</t>
    </r>
    <r>
      <rPr>
        <b val="true"/>
        <vertAlign val="superscript"/>
        <sz val="14"/>
        <color rgb="FF000000"/>
        <rFont val="Calibri"/>
        <family val="2"/>
        <charset val="1"/>
      </rPr>
      <t xml:space="preserve">2</t>
    </r>
  </si>
  <si>
    <t xml:space="preserve">DESCRIÇÃO/ESPECIFICAÇÃO</t>
  </si>
  <si>
    <t xml:space="preserve">Produtividade por trabalhador</t>
  </si>
  <si>
    <t xml:space="preserve">Memória de Cálculo - Índice de Produtividade </t>
  </si>
  <si>
    <t xml:space="preserve">Índice de Produtividade</t>
  </si>
  <si>
    <t xml:space="preserve">Preço Homem/mês R$</t>
  </si>
  <si>
    <t xml:space="preserve">Subtotal</t>
  </si>
  <si>
    <t xml:space="preserve">Área medida m²</t>
  </si>
  <si>
    <t xml:space="preserve">Valor Máximo Mensal</t>
  </si>
  <si>
    <t xml:space="preserve">Valor Máximo Anual</t>
  </si>
  <si>
    <r>
      <rPr>
        <b val="true"/>
        <sz val="11"/>
        <color rgb="FF000000"/>
        <rFont val="Calibri"/>
        <family val="2"/>
        <charset val="1"/>
      </rPr>
      <t xml:space="preserve">Valor do m</t>
    </r>
    <r>
      <rPr>
        <b val="true"/>
        <vertAlign val="superscript"/>
        <sz val="11"/>
        <color rgb="FF000000"/>
        <rFont val="Calibri"/>
        <family val="2"/>
        <charset val="1"/>
      </rPr>
      <t xml:space="preserve">2</t>
    </r>
  </si>
  <si>
    <t xml:space="preserve">ÁREA INTERNA - Pisos acarpetados</t>
  </si>
  <si>
    <t xml:space="preserve">1/980</t>
  </si>
  <si>
    <t xml:space="preserve">ÁREA INTERNA - Pisos frios</t>
  </si>
  <si>
    <t xml:space="preserve">ÁREA INTERNA - Almoxarifados/Galpões</t>
  </si>
  <si>
    <t xml:space="preserve">1/2110</t>
  </si>
  <si>
    <t xml:space="preserve">ÁREA INTERNA - Áreas com espaços livres - saguão, hall e salão</t>
  </si>
  <si>
    <t xml:space="preserve">1/1190</t>
  </si>
  <si>
    <t xml:space="preserve">ÁREA INTERNA - Banheiros</t>
  </si>
  <si>
    <t xml:space="preserve">1/220</t>
  </si>
  <si>
    <t xml:space="preserve">ÁREA EXTERNA - Pisos pavimentados adjacentes/contíguos às edificações</t>
  </si>
  <si>
    <t xml:space="preserve">1/2120</t>
  </si>
  <si>
    <t xml:space="preserve">ESQUADRIAS INTERNAS - Face interna</t>
  </si>
  <si>
    <t xml:space="preserve">(1/325)*16*(1/188,76)</t>
  </si>
  <si>
    <t xml:space="preserve">FACHADA ENVIDRAÇADA</t>
  </si>
  <si>
    <t xml:space="preserve">(1/130)*8*(1/1132,60)</t>
  </si>
  <si>
    <t xml:space="preserve">Valor do Serviço de Limpeza</t>
  </si>
  <si>
    <t xml:space="preserve">Adicional Acúmulo de Função de Copeiro(a) (Diferença entre os custos do Servente+Copeiro e Copeiro)</t>
  </si>
  <si>
    <t xml:space="preserve">VALOR TOTAL DOS SERVIÇOS</t>
  </si>
  <si>
    <t xml:space="preserve">Valor dos Utensílios (Item 9.7 do TR)</t>
  </si>
  <si>
    <t xml:space="preserve">Valor dos Materiais  de Consumo (Item 9.8 do TR)</t>
  </si>
  <si>
    <t xml:space="preserve">VALOR TOTAL DOS MATERIAIS E UTENSÍLIOS</t>
  </si>
  <si>
    <t xml:space="preserve">VALOR TOTAL DO CONTRATO</t>
  </si>
</sst>
</file>

<file path=xl/styles.xml><?xml version="1.0" encoding="utf-8"?>
<styleSheet xmlns="http://schemas.openxmlformats.org/spreadsheetml/2006/main">
  <numFmts count="18">
    <numFmt numFmtId="164" formatCode="General"/>
    <numFmt numFmtId="165" formatCode="_-&quot;R$ &quot;* #,##0.00_-;&quot;-R$ &quot;* #,##0.00_-;_-&quot;R$ &quot;* \-??_-;_-@_-"/>
    <numFmt numFmtId="166" formatCode="_(&quot;R$ &quot;* #,##0.00_);_(&quot;R$ &quot;* \(#,##0.00\);_(&quot;R$ &quot;* \-??_);_(@_)"/>
    <numFmt numFmtId="167" formatCode="0%"/>
    <numFmt numFmtId="168" formatCode="_-* #,##0.00_-;\-* #,##0.00_-;_-* \-??_-;_-@_-"/>
    <numFmt numFmtId="169" formatCode="_(* #,##0.00_);_(* \(#,##0.00\);_(* \-??_);_(@_)"/>
    <numFmt numFmtId="170" formatCode="#,##0"/>
    <numFmt numFmtId="171" formatCode="#,##0.00"/>
    <numFmt numFmtId="172" formatCode="General"/>
    <numFmt numFmtId="173" formatCode="_-&quot;R$&quot;* #,##0.00_-;&quot;-R$&quot;* #,##0.00_-;_-&quot;R$&quot;* \-??_-;_-@_-"/>
    <numFmt numFmtId="174" formatCode="d/m/yyyy"/>
    <numFmt numFmtId="175" formatCode="&quot;R$ &quot;#,##0.00_);[RED]&quot;(R$ &quot;#,##0.00\)"/>
    <numFmt numFmtId="176" formatCode="0.00%"/>
    <numFmt numFmtId="177" formatCode="0.00"/>
    <numFmt numFmtId="178" formatCode="#,#00.00"/>
    <numFmt numFmtId="179" formatCode="&quot;R$ &quot;#,##0.00"/>
    <numFmt numFmtId="180" formatCode="&quot;R$&quot;#,##0.00"/>
    <numFmt numFmtId="181" formatCode="@"/>
  </numFmts>
  <fonts count="30">
    <font>
      <sz val="11"/>
      <color rgb="FF000000"/>
      <name val="Calibri"/>
      <family val="2"/>
      <charset val="1"/>
    </font>
    <font>
      <sz val="10"/>
      <name val="Arial"/>
      <family val="0"/>
    </font>
    <font>
      <sz val="10"/>
      <name val="Arial"/>
      <family val="0"/>
    </font>
    <font>
      <sz val="10"/>
      <name val="Arial"/>
      <family val="0"/>
    </font>
    <font>
      <sz val="10"/>
      <name val="Arial"/>
      <family val="2"/>
      <charset val="1"/>
    </font>
    <font>
      <b val="true"/>
      <sz val="11"/>
      <color rgb="FF000000"/>
      <name val="Calibri"/>
      <family val="2"/>
      <charset val="1"/>
    </font>
    <font>
      <b val="true"/>
      <sz val="14"/>
      <color rgb="FF000000"/>
      <name val="Calibri"/>
      <family val="2"/>
      <charset val="1"/>
    </font>
    <font>
      <b val="true"/>
      <sz val="18"/>
      <color rgb="FFFFFFFF"/>
      <name val="Calibri"/>
      <family val="2"/>
      <charset val="1"/>
    </font>
    <font>
      <b val="true"/>
      <sz val="14"/>
      <color rgb="FFFFFFFF"/>
      <name val="Calibri"/>
      <family val="2"/>
      <charset val="1"/>
    </font>
    <font>
      <b val="true"/>
      <sz val="10"/>
      <color rgb="FF000000"/>
      <name val="Calibri"/>
      <family val="2"/>
      <charset val="1"/>
    </font>
    <font>
      <sz val="9"/>
      <color rgb="FF000000"/>
      <name val="Calibri"/>
      <family val="2"/>
      <charset val="1"/>
    </font>
    <font>
      <b val="true"/>
      <sz val="12"/>
      <color rgb="FF000000"/>
      <name val="Calibri"/>
      <family val="2"/>
      <charset val="1"/>
    </font>
    <font>
      <sz val="8"/>
      <color rgb="FF000000"/>
      <name val="Calibri"/>
      <family val="2"/>
      <charset val="1"/>
    </font>
    <font>
      <b val="true"/>
      <sz val="10"/>
      <name val="Arial"/>
      <family val="2"/>
      <charset val="1"/>
    </font>
    <font>
      <b val="true"/>
      <sz val="12"/>
      <name val="Arial"/>
      <family val="2"/>
      <charset val="1"/>
    </font>
    <font>
      <sz val="8"/>
      <color rgb="FF333333"/>
      <name val="Raleway;sans-serif"/>
      <family val="0"/>
      <charset val="1"/>
    </font>
    <font>
      <sz val="8"/>
      <name val="Raleway;sans-serif"/>
      <family val="0"/>
      <charset val="1"/>
    </font>
    <font>
      <sz val="10"/>
      <color rgb="FF000000"/>
      <name val="Arial"/>
      <family val="2"/>
      <charset val="1"/>
    </font>
    <font>
      <b val="true"/>
      <sz val="10"/>
      <color rgb="FFFF0000"/>
      <name val="Arial"/>
      <family val="2"/>
      <charset val="1"/>
    </font>
    <font>
      <sz val="10"/>
      <color rgb="FFFF0000"/>
      <name val="Arial"/>
      <family val="2"/>
      <charset val="1"/>
    </font>
    <font>
      <b val="true"/>
      <sz val="14"/>
      <name val="Arial"/>
      <family val="2"/>
      <charset val="1"/>
    </font>
    <font>
      <b val="true"/>
      <sz val="10.5"/>
      <name val="Arial"/>
      <family val="2"/>
      <charset val="1"/>
    </font>
    <font>
      <sz val="10"/>
      <color rgb="FF000000"/>
      <name val="Calibri"/>
      <family val="2"/>
      <charset val="1"/>
    </font>
    <font>
      <b val="true"/>
      <sz val="15"/>
      <color rgb="FF1F497D"/>
      <name val="Calibri"/>
      <family val="2"/>
      <charset val="1"/>
    </font>
    <font>
      <b val="true"/>
      <vertAlign val="superscript"/>
      <sz val="14"/>
      <color rgb="FF000000"/>
      <name val="Calibri"/>
      <family val="2"/>
      <charset val="1"/>
    </font>
    <font>
      <b val="true"/>
      <vertAlign val="superscript"/>
      <sz val="11"/>
      <color rgb="FF000000"/>
      <name val="Calibri"/>
      <family val="2"/>
      <charset val="1"/>
    </font>
    <font>
      <b val="true"/>
      <sz val="9"/>
      <name val="Palatino Linotype"/>
      <family val="1"/>
      <charset val="1"/>
    </font>
    <font>
      <sz val="10"/>
      <name val="Calibri"/>
      <family val="2"/>
      <charset val="1"/>
    </font>
    <font>
      <b val="true"/>
      <sz val="10"/>
      <color rgb="FF1F497D"/>
      <name val="Calibri"/>
      <family val="2"/>
      <charset val="1"/>
    </font>
    <font>
      <b val="true"/>
      <sz val="11"/>
      <color rgb="FF1F497D"/>
      <name val="Calibri"/>
      <family val="2"/>
      <charset val="1"/>
    </font>
  </fonts>
  <fills count="12">
    <fill>
      <patternFill patternType="none"/>
    </fill>
    <fill>
      <patternFill patternType="gray125"/>
    </fill>
    <fill>
      <patternFill patternType="solid">
        <fgColor rgb="FF1F497D"/>
        <bgColor rgb="FF003366"/>
      </patternFill>
    </fill>
    <fill>
      <patternFill patternType="solid">
        <fgColor rgb="FFC6D9F1"/>
        <bgColor rgb="FFD9D9D9"/>
      </patternFill>
    </fill>
    <fill>
      <patternFill patternType="solid">
        <fgColor rgb="FF8EB4E3"/>
        <bgColor rgb="FF95B3D7"/>
      </patternFill>
    </fill>
    <fill>
      <patternFill patternType="solid">
        <fgColor rgb="FFDCE6F2"/>
        <bgColor rgb="FFDBEEF4"/>
      </patternFill>
    </fill>
    <fill>
      <patternFill patternType="solid">
        <fgColor rgb="FFD9D9D9"/>
        <bgColor rgb="FFDCE6F2"/>
      </patternFill>
    </fill>
    <fill>
      <patternFill patternType="solid">
        <fgColor rgb="FFFFFF00"/>
        <bgColor rgb="FFFFFF00"/>
      </patternFill>
    </fill>
    <fill>
      <patternFill patternType="solid">
        <fgColor rgb="FFC0C0C0"/>
        <bgColor rgb="FFD9D9D9"/>
      </patternFill>
    </fill>
    <fill>
      <patternFill patternType="solid">
        <fgColor rgb="FFEBF1DE"/>
        <bgColor rgb="FFDBEEF4"/>
      </patternFill>
    </fill>
    <fill>
      <patternFill patternType="solid">
        <fgColor rgb="FFFFFFFF"/>
        <bgColor rgb="FFEBF1DE"/>
      </patternFill>
    </fill>
    <fill>
      <patternFill patternType="solid">
        <fgColor rgb="FFDBEEF4"/>
        <bgColor rgb="FFDCE6F2"/>
      </patternFill>
    </fill>
  </fills>
  <borders count="26">
    <border diagonalUp="false" diagonalDown="false">
      <left/>
      <right/>
      <top/>
      <bottom/>
      <diagonal/>
    </border>
    <border diagonalUp="false" diagonalDown="false">
      <left/>
      <right/>
      <top/>
      <bottom style="thick">
        <color rgb="FF4F81BD"/>
      </bottom>
      <diagonal/>
    </border>
    <border diagonalUp="false" diagonalDown="false">
      <left/>
      <right/>
      <top style="thin">
        <color rgb="FF4F81BD"/>
      </top>
      <bottom style="double">
        <color rgb="FF4F81BD"/>
      </bottom>
      <diagonal/>
    </border>
    <border diagonalUp="false" diagonalDown="false">
      <left/>
      <right/>
      <top/>
      <bottom style="medium">
        <color rgb="FF95B3D7"/>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style="thin"/>
      <right/>
      <top style="thin"/>
      <bottom style="thin"/>
      <diagonal/>
    </border>
    <border diagonalUp="false" diagonalDown="false">
      <left style="hair"/>
      <right style="hair"/>
      <top style="hair"/>
      <bottom style="hair"/>
      <diagonal/>
    </border>
    <border diagonalUp="false" diagonalDown="false">
      <left style="medium"/>
      <right/>
      <top/>
      <bottom/>
      <diagonal/>
    </border>
    <border diagonalUp="false" diagonalDown="false">
      <left style="medium"/>
      <right/>
      <top style="thin"/>
      <bottom/>
      <diagonal/>
    </border>
    <border diagonalUp="false" diagonalDown="false">
      <left style="medium"/>
      <right/>
      <top style="thin"/>
      <bottom style="thin"/>
      <diagonal/>
    </border>
    <border diagonalUp="false" diagonalDown="false">
      <left style="medium"/>
      <right/>
      <top/>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color rgb="FF4F81BD"/>
      </bottom>
      <diagonal/>
    </border>
    <border diagonalUp="false" diagonalDown="false">
      <left/>
      <right/>
      <top style="thin">
        <color rgb="FF4F81BD"/>
      </top>
      <bottom style="thin">
        <color rgb="FF4F81BD"/>
      </bottom>
      <diagonal/>
    </border>
    <border diagonalUp="false" diagonalDown="false">
      <left/>
      <right/>
      <top style="thin">
        <color rgb="FF4F81BD"/>
      </top>
      <bottom style="thick">
        <color rgb="FF4F81BD"/>
      </bottom>
      <diagonal/>
    </border>
    <border diagonalUp="false" diagonalDown="false">
      <left/>
      <right/>
      <top style="thin">
        <color rgb="FF4F81BD"/>
      </top>
      <bottom/>
      <diagonal/>
    </border>
    <border diagonalUp="false" diagonalDown="false">
      <left/>
      <right/>
      <top style="thick">
        <color rgb="FF4F81BD"/>
      </top>
      <bottom style="double">
        <color rgb="FF4F81BD"/>
      </bottom>
      <diagonal/>
    </border>
    <border diagonalUp="false" diagonalDown="false">
      <left/>
      <right/>
      <top style="double">
        <color rgb="FF4F81BD"/>
      </top>
      <bottom style="double">
        <color rgb="FF4F81BD"/>
      </bottom>
      <diagonal/>
    </border>
  </borders>
  <cellStyleXfs count="2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6" fontId="4"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7" fontId="4"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3" fillId="0" borderId="1" applyFont="true" applyBorder="true" applyAlignment="true" applyProtection="false">
      <alignment horizontal="general" vertical="bottom" textRotation="0" wrapText="false" indent="0" shrinkToFit="false"/>
    </xf>
    <xf numFmtId="164" fontId="5" fillId="0" borderId="2" applyFont="true" applyBorder="true" applyAlignment="true" applyProtection="false">
      <alignment horizontal="general" vertical="bottom" textRotation="0" wrapText="false" indent="0" shrinkToFit="false"/>
    </xf>
    <xf numFmtId="164" fontId="29" fillId="0" borderId="3" applyFont="true" applyBorder="true" applyAlignment="true" applyProtection="false">
      <alignment horizontal="general" vertical="bottom" textRotation="0" wrapText="false" indent="0" shrinkToFit="false"/>
    </xf>
  </cellStyleXfs>
  <cellXfs count="15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8" fontId="5" fillId="0" borderId="0" xfId="15" applyFont="true" applyBorder="true" applyAlignment="true" applyProtection="true">
      <alignment horizontal="general" vertical="center"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4" fontId="7" fillId="2" borderId="0"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center" vertical="center" textRotation="0" wrapText="false" indent="0" shrinkToFit="false"/>
      <protection locked="true" hidden="false"/>
    </xf>
    <xf numFmtId="164" fontId="8" fillId="0" borderId="4" xfId="0" applyFont="true" applyBorder="true" applyAlignment="true" applyProtection="false">
      <alignment horizontal="center" vertical="center" textRotation="0" wrapText="true" indent="0" shrinkToFit="false"/>
      <protection locked="true" hidden="false"/>
    </xf>
    <xf numFmtId="164" fontId="6" fillId="3" borderId="5" xfId="0" applyFont="true" applyBorder="true" applyAlignment="true" applyProtection="false">
      <alignment horizontal="center" vertical="center" textRotation="0" wrapText="false" indent="0" shrinkToFit="false"/>
      <protection locked="true" hidden="false"/>
    </xf>
    <xf numFmtId="164" fontId="9" fillId="4" borderId="5" xfId="0" applyFont="true" applyBorder="true" applyAlignment="true" applyProtection="false">
      <alignment horizontal="center" vertical="center" textRotation="0" wrapText="false" indent="0" shrinkToFit="false"/>
      <protection locked="true" hidden="false"/>
    </xf>
    <xf numFmtId="164" fontId="9" fillId="4" borderId="5" xfId="0" applyFont="true" applyBorder="true" applyAlignment="true" applyProtection="false">
      <alignment horizontal="center" vertical="center" textRotation="0" wrapText="true" indent="0" shrinkToFit="false"/>
      <protection locked="true" hidden="false"/>
    </xf>
    <xf numFmtId="164" fontId="10" fillId="0" borderId="5" xfId="0" applyFont="true" applyBorder="true" applyAlignment="true" applyProtection="false">
      <alignment horizontal="center" vertical="center" textRotation="0" wrapText="false" indent="0" shrinkToFit="false"/>
      <protection locked="true" hidden="false"/>
    </xf>
    <xf numFmtId="164" fontId="10" fillId="0" borderId="5" xfId="0" applyFont="true" applyBorder="true" applyAlignment="true" applyProtection="false">
      <alignment horizontal="left" vertical="center" textRotation="0" wrapText="true" indent="0" shrinkToFit="false"/>
      <protection locked="true" hidden="false"/>
    </xf>
    <xf numFmtId="164" fontId="10" fillId="0" borderId="5" xfId="0" applyFont="true" applyBorder="true" applyAlignment="true" applyProtection="false">
      <alignment horizontal="center" vertical="center" textRotation="0" wrapText="true" indent="0" shrinkToFit="false"/>
      <protection locked="true" hidden="false"/>
    </xf>
    <xf numFmtId="170" fontId="10" fillId="0" borderId="5" xfId="0" applyFont="true" applyBorder="true" applyAlignment="true" applyProtection="false">
      <alignment horizontal="center" vertical="center" textRotation="0" wrapText="false" indent="0" shrinkToFit="false"/>
      <protection locked="true" hidden="false"/>
    </xf>
    <xf numFmtId="171" fontId="10" fillId="0" borderId="5" xfId="15" applyFont="true" applyBorder="true" applyAlignment="true" applyProtection="true">
      <alignment horizontal="center" vertical="center" textRotation="0" wrapText="false" indent="0" shrinkToFit="false"/>
      <protection locked="true" hidden="false"/>
    </xf>
    <xf numFmtId="171" fontId="10" fillId="0" borderId="6" xfId="0" applyFont="true" applyBorder="true" applyAlignment="true" applyProtection="false">
      <alignment horizontal="center" vertical="center" textRotation="0" wrapText="false" indent="0" shrinkToFit="false"/>
      <protection locked="true" hidden="false"/>
    </xf>
    <xf numFmtId="171" fontId="9" fillId="0" borderId="6" xfId="0" applyFont="true" applyBorder="true" applyAlignment="true" applyProtection="false">
      <alignment horizontal="center" vertical="center" textRotation="0" wrapText="false" indent="0" shrinkToFit="false"/>
      <protection locked="true" hidden="false"/>
    </xf>
    <xf numFmtId="172" fontId="9" fillId="0" borderId="5" xfId="0" applyFont="true" applyBorder="true" applyAlignment="true" applyProtection="false">
      <alignment horizontal="general" vertical="center" textRotation="0" wrapText="false" indent="0" shrinkToFit="false"/>
      <protection locked="true" hidden="false"/>
    </xf>
    <xf numFmtId="164" fontId="10" fillId="0" borderId="6" xfId="0" applyFont="true" applyBorder="true" applyAlignment="true" applyProtection="false">
      <alignment horizontal="center" vertical="center" textRotation="0" wrapText="false" indent="0" shrinkToFit="false"/>
      <protection locked="true" hidden="false"/>
    </xf>
    <xf numFmtId="164" fontId="5" fillId="5" borderId="5" xfId="0" applyFont="true" applyBorder="true" applyAlignment="true" applyProtection="false">
      <alignment horizontal="right" vertical="center" textRotation="0" wrapText="false" indent="0" shrinkToFit="false"/>
      <protection locked="true" hidden="false"/>
    </xf>
    <xf numFmtId="173" fontId="11" fillId="5" borderId="5" xfId="17" applyFont="true" applyBorder="true" applyAlignment="true" applyProtection="true">
      <alignment horizontal="general" vertical="center" textRotation="0" wrapText="false" indent="0" shrinkToFit="false"/>
      <protection locked="true" hidden="false"/>
    </xf>
    <xf numFmtId="164" fontId="10" fillId="0" borderId="6" xfId="0" applyFont="true" applyBorder="true" applyAlignment="true" applyProtection="false">
      <alignment horizontal="center" vertical="center" textRotation="0" wrapText="true" indent="0" shrinkToFit="false"/>
      <protection locked="true" hidden="false"/>
    </xf>
    <xf numFmtId="170" fontId="10" fillId="0" borderId="6" xfId="0" applyFont="true" applyBorder="true" applyAlignment="true" applyProtection="false">
      <alignment horizontal="center" vertical="center" textRotation="0" wrapText="false" indent="0" shrinkToFit="false"/>
      <protection locked="true" hidden="false"/>
    </xf>
    <xf numFmtId="171" fontId="10" fillId="0" borderId="6" xfId="15" applyFont="true" applyBorder="true" applyAlignment="true" applyProtection="true">
      <alignment horizontal="center" vertical="center" textRotation="0" wrapText="false" indent="0" shrinkToFit="false"/>
      <protection locked="true" hidden="false"/>
    </xf>
    <xf numFmtId="171" fontId="9" fillId="0" borderId="6" xfId="0" applyFont="true" applyBorder="true" applyAlignment="true" applyProtection="false">
      <alignment horizontal="right"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false" indent="0" shrinkToFit="false"/>
      <protection locked="true" hidden="false"/>
    </xf>
    <xf numFmtId="164" fontId="12" fillId="0" borderId="5" xfId="0" applyFont="true" applyBorder="true" applyAlignment="true" applyProtection="false">
      <alignment horizontal="center" vertical="center" textRotation="0" wrapText="true" indent="0" shrinkToFit="false"/>
      <protection locked="true" hidden="false"/>
    </xf>
    <xf numFmtId="164" fontId="5" fillId="5" borderId="7" xfId="0" applyFont="true" applyBorder="true" applyAlignment="true" applyProtection="false">
      <alignment horizontal="right" vertical="center" textRotation="0" wrapText="false" indent="0" shrinkToFit="false"/>
      <protection locked="true" hidden="false"/>
    </xf>
    <xf numFmtId="164" fontId="6" fillId="4" borderId="5" xfId="0" applyFont="true" applyBorder="true" applyAlignment="true" applyProtection="false">
      <alignment horizontal="right" vertical="center" textRotation="0" wrapText="false" indent="0" shrinkToFit="false"/>
      <protection locked="true" hidden="false"/>
    </xf>
    <xf numFmtId="173" fontId="6" fillId="4" borderId="5" xfId="17" applyFont="true" applyBorder="true" applyAlignment="true" applyProtection="true">
      <alignment horizontal="general" vertical="center"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13" fillId="0" borderId="0" xfId="22" applyFont="true" applyBorder="true" applyAlignment="true" applyProtection="false">
      <alignment horizontal="left" vertical="center" textRotation="0" wrapText="false" indent="0" shrinkToFit="false"/>
      <protection locked="true" hidden="false"/>
    </xf>
    <xf numFmtId="164" fontId="13" fillId="6"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left" vertical="center" textRotation="0" wrapText="false" indent="0" shrinkToFit="false"/>
      <protection locked="true" hidden="false"/>
    </xf>
    <xf numFmtId="174" fontId="4" fillId="0" borderId="5" xfId="22" applyFont="true" applyBorder="true" applyAlignment="true" applyProtection="false">
      <alignment horizontal="center" vertical="center" textRotation="0" wrapText="false" indent="0" shrinkToFit="false"/>
      <protection locked="true" hidden="false"/>
    </xf>
    <xf numFmtId="164" fontId="14" fillId="0" borderId="5" xfId="22" applyFont="true" applyBorder="true" applyAlignment="true" applyProtection="false">
      <alignment horizontal="center" vertical="center" textRotation="0" wrapText="false" indent="0" shrinkToFit="false"/>
      <protection locked="true" hidden="false"/>
    </xf>
    <xf numFmtId="164" fontId="13" fillId="0" borderId="5" xfId="22" applyFont="true" applyBorder="true" applyAlignment="true" applyProtection="false">
      <alignment horizontal="center" vertical="center" textRotation="0" wrapText="true" indent="0" shrinkToFit="false"/>
      <protection locked="true" hidden="false"/>
    </xf>
    <xf numFmtId="164" fontId="13" fillId="7" borderId="5" xfId="22" applyFont="true" applyBorder="true" applyAlignment="true" applyProtection="false">
      <alignment horizontal="center" vertical="center" textRotation="0" wrapText="false" indent="0" shrinkToFit="false"/>
      <protection locked="true" hidden="false"/>
    </xf>
    <xf numFmtId="164" fontId="13" fillId="0" borderId="5" xfId="22" applyFont="true" applyBorder="true" applyAlignment="true" applyProtection="false">
      <alignment horizontal="center" vertical="center" textRotation="0" wrapText="false" indent="0" shrinkToFit="false"/>
      <protection locked="true" hidden="false"/>
    </xf>
    <xf numFmtId="164" fontId="15" fillId="0" borderId="8" xfId="22" applyFont="true" applyBorder="true" applyAlignment="true" applyProtection="false">
      <alignment horizontal="center" vertical="center" textRotation="0" wrapText="true" indent="0" shrinkToFit="false"/>
      <protection locked="true" hidden="false"/>
    </xf>
    <xf numFmtId="164" fontId="4" fillId="0" borderId="8" xfId="22" applyFont="true" applyBorder="true" applyAlignment="true" applyProtection="false">
      <alignment horizontal="center" vertical="center" textRotation="0" wrapText="false" indent="0" shrinkToFit="false"/>
      <protection locked="true" hidden="false"/>
    </xf>
    <xf numFmtId="175" fontId="4" fillId="0" borderId="8" xfId="22" applyFont="true" applyBorder="true" applyAlignment="true" applyProtection="false">
      <alignment horizontal="center" vertical="center" textRotation="0" wrapText="false" indent="0" shrinkToFit="false"/>
      <protection locked="true" hidden="false"/>
    </xf>
    <xf numFmtId="164" fontId="13" fillId="8"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general" vertical="center" textRotation="0" wrapText="false" indent="0" shrinkToFit="false"/>
      <protection locked="true" hidden="false"/>
    </xf>
    <xf numFmtId="171" fontId="4" fillId="0" borderId="5" xfId="22" applyFont="true" applyBorder="true" applyAlignment="true" applyProtection="false">
      <alignment horizontal="general" vertical="center" textRotation="0" wrapText="false" indent="0" shrinkToFit="false"/>
      <protection locked="true" hidden="false"/>
    </xf>
    <xf numFmtId="176" fontId="4" fillId="0" borderId="5" xfId="24" applyFont="true" applyBorder="true" applyAlignment="true" applyProtection="true">
      <alignment horizontal="center" vertical="center" textRotation="0" wrapText="false" indent="0" shrinkToFit="false"/>
      <protection locked="true" hidden="false"/>
    </xf>
    <xf numFmtId="177" fontId="4" fillId="0" borderId="5" xfId="22" applyFont="true" applyBorder="true" applyAlignment="true" applyProtection="false">
      <alignment horizontal="general" vertical="center" textRotation="0" wrapText="false" indent="0" shrinkToFit="false"/>
      <protection locked="true" hidden="false"/>
    </xf>
    <xf numFmtId="171" fontId="4" fillId="0" borderId="5" xfId="24" applyFont="true" applyBorder="true" applyAlignment="true" applyProtection="true">
      <alignment horizontal="center" vertical="center" textRotation="0" wrapText="false" indent="0" shrinkToFit="false"/>
      <protection locked="true" hidden="false"/>
    </xf>
    <xf numFmtId="178" fontId="13" fillId="0" borderId="5" xfId="22" applyFont="true" applyBorder="true" applyAlignment="true" applyProtection="false">
      <alignment horizontal="general" vertical="center" textRotation="0" wrapText="false" indent="0" shrinkToFit="false"/>
      <protection locked="true" hidden="false"/>
    </xf>
    <xf numFmtId="164" fontId="13" fillId="0" borderId="0" xfId="22" applyFont="true" applyBorder="true" applyAlignment="true" applyProtection="false">
      <alignment horizontal="center" vertical="center" textRotation="0" wrapText="false" indent="0" shrinkToFit="false"/>
      <protection locked="true" hidden="false"/>
    </xf>
    <xf numFmtId="177" fontId="13" fillId="0" borderId="0" xfId="22" applyFont="true" applyBorder="true" applyAlignment="true" applyProtection="false">
      <alignment horizontal="general" vertical="center" textRotation="0" wrapText="false" indent="0" shrinkToFit="false"/>
      <protection locked="true" hidden="false"/>
    </xf>
    <xf numFmtId="164" fontId="13" fillId="9" borderId="5" xfId="22" applyFont="true" applyBorder="true" applyAlignment="true" applyProtection="false">
      <alignment horizontal="center" vertical="center" textRotation="0" wrapText="false" indent="0" shrinkToFit="false"/>
      <protection locked="true" hidden="false"/>
    </xf>
    <xf numFmtId="176" fontId="4" fillId="0" borderId="5" xfId="22" applyFont="true" applyBorder="true" applyAlignment="true" applyProtection="false">
      <alignment horizontal="center" vertical="center" textRotation="0" wrapText="false" indent="0" shrinkToFit="false"/>
      <protection locked="true" hidden="false"/>
    </xf>
    <xf numFmtId="176" fontId="4" fillId="10" borderId="5" xfId="22" applyFont="true" applyBorder="true" applyAlignment="true" applyProtection="false">
      <alignment horizontal="center" vertical="center" textRotation="0" wrapText="false" indent="0" shrinkToFit="false"/>
      <protection locked="true" hidden="false"/>
    </xf>
    <xf numFmtId="176" fontId="13" fillId="0" borderId="5" xfId="22" applyFont="true" applyBorder="true" applyAlignment="true" applyProtection="false">
      <alignment horizontal="center" vertical="center" textRotation="0" wrapText="false" indent="0" shrinkToFit="false"/>
      <protection locked="true" hidden="false"/>
    </xf>
    <xf numFmtId="177" fontId="13" fillId="0" borderId="5" xfId="22" applyFont="true" applyBorder="true" applyAlignment="true" applyProtection="false">
      <alignment horizontal="general" vertical="center" textRotation="0" wrapText="false" indent="0" shrinkToFit="false"/>
      <protection locked="true" hidden="false"/>
    </xf>
    <xf numFmtId="164" fontId="13" fillId="10" borderId="9" xfId="22" applyFont="true" applyBorder="true" applyAlignment="true" applyProtection="false">
      <alignment horizontal="center" vertical="center" textRotation="0" wrapText="false" indent="0" shrinkToFit="false"/>
      <protection locked="true" hidden="false"/>
    </xf>
    <xf numFmtId="164" fontId="13" fillId="10" borderId="7" xfId="22" applyFont="true" applyBorder="true" applyAlignment="true" applyProtection="false">
      <alignment horizontal="center" vertical="center" textRotation="0" wrapText="false" indent="0" shrinkToFit="false"/>
      <protection locked="true" hidden="false"/>
    </xf>
    <xf numFmtId="176" fontId="13" fillId="9" borderId="5" xfId="22" applyFont="true" applyBorder="true" applyAlignment="true" applyProtection="false">
      <alignment horizontal="center" vertical="center" textRotation="0" wrapText="false" indent="0" shrinkToFit="false"/>
      <protection locked="true" hidden="false"/>
    </xf>
    <xf numFmtId="177" fontId="4" fillId="0" borderId="5" xfId="22" applyFont="true" applyBorder="true" applyAlignment="true" applyProtection="false">
      <alignment horizontal="right" vertical="center" textRotation="0" wrapText="false" indent="0" shrinkToFit="false"/>
      <protection locked="true" hidden="false"/>
    </xf>
    <xf numFmtId="164" fontId="13" fillId="0" borderId="5" xfId="22" applyFont="true" applyBorder="true" applyAlignment="true" applyProtection="false">
      <alignment horizontal="general" vertical="center" textRotation="0" wrapText="false" indent="0" shrinkToFit="false"/>
      <protection locked="true" hidden="false"/>
    </xf>
    <xf numFmtId="164" fontId="13" fillId="0" borderId="5" xfId="22" applyFont="true" applyBorder="true" applyAlignment="true" applyProtection="false">
      <alignment horizontal="left" vertical="center" textRotation="0" wrapText="false" indent="0" shrinkToFit="false"/>
      <protection locked="true" hidden="false"/>
    </xf>
    <xf numFmtId="164" fontId="13" fillId="10" borderId="10" xfId="22" applyFont="true" applyBorder="true" applyAlignment="true" applyProtection="false">
      <alignment horizontal="center" vertical="center" textRotation="0" wrapText="fals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4" fillId="0" borderId="5" xfId="22" applyFont="true" applyBorder="true" applyAlignment="true" applyProtection="false">
      <alignment horizontal="left" vertical="center" textRotation="0" wrapText="true" indent="0" shrinkToFit="false"/>
      <protection locked="true" hidden="false"/>
    </xf>
    <xf numFmtId="164" fontId="13" fillId="0" borderId="7" xfId="22"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3" fillId="10" borderId="11" xfId="22" applyFont="true" applyBorder="true" applyAlignment="true" applyProtection="false">
      <alignment horizontal="center" vertical="center" textRotation="0" wrapText="false" indent="0" shrinkToFit="false"/>
      <protection locked="true" hidden="false"/>
    </xf>
    <xf numFmtId="164" fontId="13" fillId="10" borderId="12" xfId="22"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center" textRotation="0" wrapText="false" indent="0" shrinkToFit="false"/>
      <protection locked="true" hidden="false"/>
    </xf>
    <xf numFmtId="164" fontId="13" fillId="10" borderId="5" xfId="22" applyFont="true" applyBorder="true" applyAlignment="true" applyProtection="false">
      <alignment horizontal="center" vertical="center" textRotation="0" wrapText="false" indent="0" shrinkToFit="false"/>
      <protection locked="true" hidden="false"/>
    </xf>
    <xf numFmtId="176" fontId="4" fillId="0" borderId="5" xfId="22" applyFont="true" applyBorder="true" applyAlignment="true" applyProtection="false">
      <alignment horizontal="general" vertical="center" textRotation="0" wrapText="false" indent="0" shrinkToFit="false"/>
      <protection locked="true" hidden="false"/>
    </xf>
    <xf numFmtId="177" fontId="4" fillId="0" borderId="5" xfId="22" applyFont="true" applyBorder="true" applyAlignment="true" applyProtection="false">
      <alignment horizontal="center" vertical="center" textRotation="0" wrapText="false" indent="0" shrinkToFit="false"/>
      <protection locked="true" hidden="false"/>
    </xf>
    <xf numFmtId="176" fontId="4" fillId="0" borderId="5" xfId="24" applyFont="true" applyBorder="true" applyAlignment="true" applyProtection="true">
      <alignment horizontal="general" vertical="center" textRotation="0" wrapText="false" indent="0" shrinkToFit="false"/>
      <protection locked="true" hidden="false"/>
    </xf>
    <xf numFmtId="176" fontId="0" fillId="0" borderId="0" xfId="0" applyFont="false" applyBorder="false" applyAlignment="false" applyProtection="false">
      <alignment horizontal="general" vertical="bottom" textRotation="0" wrapText="false" indent="0" shrinkToFit="false"/>
      <protection locked="true" hidden="false"/>
    </xf>
    <xf numFmtId="164" fontId="18" fillId="0" borderId="13" xfId="22" applyFont="true" applyBorder="true" applyAlignment="true" applyProtection="false">
      <alignment horizontal="center" vertical="center" textRotation="0" wrapText="false" indent="0" shrinkToFit="false"/>
      <protection locked="true" hidden="false"/>
    </xf>
    <xf numFmtId="164" fontId="18" fillId="0" borderId="14" xfId="22" applyFont="true" applyBorder="true" applyAlignment="true" applyProtection="false">
      <alignment horizontal="left" vertical="center" textRotation="0" wrapText="false" indent="0" shrinkToFit="false"/>
      <protection locked="true" hidden="false"/>
    </xf>
    <xf numFmtId="176" fontId="18" fillId="0" borderId="14" xfId="24" applyFont="true" applyBorder="true" applyAlignment="true" applyProtection="true">
      <alignment horizontal="general" vertical="center" textRotation="0" wrapText="false" indent="0" shrinkToFit="false"/>
      <protection locked="true" hidden="false"/>
    </xf>
    <xf numFmtId="177" fontId="18" fillId="0" borderId="15" xfId="22" applyFont="true" applyBorder="true" applyAlignment="true" applyProtection="false">
      <alignment horizontal="general" vertical="center" textRotation="0" wrapText="false" indent="0" shrinkToFit="false"/>
      <protection locked="true" hidden="false"/>
    </xf>
    <xf numFmtId="164" fontId="18" fillId="0" borderId="16" xfId="22" applyFont="true" applyBorder="true" applyAlignment="true" applyProtection="false">
      <alignment horizontal="center" vertical="center" textRotation="0" wrapText="false" indent="0" shrinkToFit="false"/>
      <protection locked="true" hidden="false"/>
    </xf>
    <xf numFmtId="164" fontId="18" fillId="0" borderId="0" xfId="22" applyFont="true" applyBorder="true" applyAlignment="true" applyProtection="false">
      <alignment horizontal="left" vertical="center" textRotation="0" wrapText="false" indent="0" shrinkToFit="false"/>
      <protection locked="true" hidden="false"/>
    </xf>
    <xf numFmtId="176" fontId="18" fillId="0" borderId="0" xfId="24" applyFont="true" applyBorder="true" applyAlignment="true" applyProtection="true">
      <alignment horizontal="general" vertical="center" textRotation="0" wrapText="false" indent="0" shrinkToFit="false"/>
      <protection locked="true" hidden="false"/>
    </xf>
    <xf numFmtId="177" fontId="18" fillId="0" borderId="17" xfId="22" applyFont="true" applyBorder="true" applyAlignment="true" applyProtection="false">
      <alignment horizontal="general" vertical="center" textRotation="0" wrapText="false" indent="0" shrinkToFit="false"/>
      <protection locked="true" hidden="false"/>
    </xf>
    <xf numFmtId="164" fontId="19" fillId="0" borderId="16" xfId="22" applyFont="true" applyBorder="true" applyAlignment="true" applyProtection="false">
      <alignment horizontal="general" vertical="center" textRotation="0" wrapText="false" indent="0" shrinkToFit="false"/>
      <protection locked="true" hidden="false"/>
    </xf>
    <xf numFmtId="164" fontId="18" fillId="0" borderId="18" xfId="22" applyFont="true" applyBorder="true" applyAlignment="true" applyProtection="false">
      <alignment horizontal="center" vertical="center" textRotation="0" wrapText="false" indent="0" shrinkToFit="false"/>
      <protection locked="true" hidden="false"/>
    </xf>
    <xf numFmtId="164" fontId="18" fillId="0" borderId="4" xfId="22" applyFont="true" applyBorder="true" applyAlignment="true" applyProtection="false">
      <alignment horizontal="left" vertical="center" textRotation="0" wrapText="false" indent="0" shrinkToFit="false"/>
      <protection locked="true" hidden="false"/>
    </xf>
    <xf numFmtId="176" fontId="18" fillId="0" borderId="4" xfId="24" applyFont="true" applyBorder="true" applyAlignment="true" applyProtection="true">
      <alignment horizontal="general" vertical="center" textRotation="0" wrapText="false" indent="0" shrinkToFit="false"/>
      <protection locked="true" hidden="false"/>
    </xf>
    <xf numFmtId="177" fontId="18" fillId="0" borderId="19" xfId="22" applyFont="true" applyBorder="true" applyAlignment="true" applyProtection="false">
      <alignment horizontal="general" vertical="center" textRotation="0" wrapText="false" indent="0" shrinkToFit="false"/>
      <protection locked="true" hidden="false"/>
    </xf>
    <xf numFmtId="164" fontId="20" fillId="0" borderId="5" xfId="22" applyFont="true" applyBorder="true" applyAlignment="true" applyProtection="false">
      <alignment horizontal="center" vertical="center" textRotation="0" wrapText="false" indent="0" shrinkToFit="false"/>
      <protection locked="true" hidden="false"/>
    </xf>
    <xf numFmtId="173" fontId="20" fillId="0" borderId="5" xfId="22" applyFont="true" applyBorder="true" applyAlignment="true" applyProtection="false">
      <alignment horizontal="general" vertical="center" textRotation="0" wrapText="false" indent="0" shrinkToFit="false"/>
      <protection locked="true" hidden="false"/>
    </xf>
    <xf numFmtId="164" fontId="4" fillId="0" borderId="0" xfId="22" applyFont="false" applyBorder="false" applyAlignment="false" applyProtection="false">
      <alignment horizontal="general" vertical="bottom" textRotation="0" wrapText="false" indent="0" shrinkToFit="false"/>
      <protection locked="true" hidden="false"/>
    </xf>
    <xf numFmtId="164" fontId="13" fillId="0" borderId="8" xfId="22" applyFont="true" applyBorder="true" applyAlignment="true" applyProtection="false">
      <alignment horizontal="center" vertical="center" textRotation="0" wrapText="false" indent="0" shrinkToFit="false"/>
      <protection locked="true" hidden="false"/>
    </xf>
    <xf numFmtId="171" fontId="13" fillId="0" borderId="8" xfId="22"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5" fontId="13" fillId="0" borderId="0" xfId="0" applyFont="true" applyBorder="false" applyAlignment="true" applyProtection="false">
      <alignment horizontal="general" vertical="center" textRotation="0" wrapText="false" indent="0" shrinkToFit="false"/>
      <protection locked="true" hidden="false"/>
    </xf>
    <xf numFmtId="164" fontId="21" fillId="0" borderId="0" xfId="22" applyFont="true" applyBorder="true" applyAlignment="true" applyProtection="false">
      <alignment horizontal="center" vertical="center" textRotation="0" wrapText="false" indent="0" shrinkToFit="false"/>
      <protection locked="true" hidden="false"/>
    </xf>
    <xf numFmtId="171" fontId="13" fillId="0" borderId="0" xfId="22" applyFont="true" applyBorder="true" applyAlignment="true" applyProtection="false">
      <alignment horizontal="center" vertical="bottom" textRotation="0" wrapText="false" indent="0" shrinkToFit="false"/>
      <protection locked="true" hidden="false"/>
    </xf>
    <xf numFmtId="164" fontId="13" fillId="0" borderId="0" xfId="22" applyFont="true" applyBorder="false" applyAlignment="true" applyProtection="false">
      <alignment horizontal="general" vertical="center" textRotation="0" wrapText="false" indent="0" shrinkToFit="false"/>
      <protection locked="true" hidden="false"/>
    </xf>
    <xf numFmtId="166" fontId="13" fillId="0" borderId="0" xfId="21"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8" fontId="4" fillId="0" borderId="0" xfId="22" applyFont="true" applyBorder="false" applyAlignment="true" applyProtection="false">
      <alignment horizontal="general" vertical="center" textRotation="0" wrapText="false" indent="0" shrinkToFit="false"/>
      <protection locked="true" hidden="false"/>
    </xf>
    <xf numFmtId="164" fontId="4" fillId="0" borderId="0" xfId="22" applyFont="true" applyBorder="true" applyAlignment="true" applyProtection="false">
      <alignment horizontal="center" vertical="bottom" textRotation="0" wrapText="false" indent="0" shrinkToFit="false"/>
      <protection locked="true" hidden="false"/>
    </xf>
    <xf numFmtId="164" fontId="13" fillId="0" borderId="0" xfId="22" applyFont="true" applyBorder="true" applyAlignment="true" applyProtection="false">
      <alignment horizontal="center" vertical="bottom" textRotation="0" wrapText="false" indent="0" shrinkToFit="false"/>
      <protection locked="true" hidden="false"/>
    </xf>
    <xf numFmtId="164" fontId="4" fillId="0" borderId="0" xfId="22" applyFont="true" applyBorder="true" applyAlignment="true" applyProtection="false">
      <alignment horizontal="center" vertical="center" textRotation="0" wrapText="false" indent="0" shrinkToFit="false"/>
      <protection locked="true" hidden="false"/>
    </xf>
    <xf numFmtId="164" fontId="4" fillId="0" borderId="4"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center" vertical="center" textRotation="0" wrapText="true" indent="0" shrinkToFit="false"/>
      <protection locked="true" hidden="false"/>
    </xf>
    <xf numFmtId="164" fontId="4" fillId="0" borderId="0" xfId="22" applyFont="true" applyBorder="true" applyAlignment="true" applyProtection="false">
      <alignment horizontal="left" vertical="center" textRotation="0" wrapText="false" indent="0" shrinkToFit="false"/>
      <protection locked="true" hidden="false"/>
    </xf>
    <xf numFmtId="175" fontId="4" fillId="0" borderId="5" xfId="22" applyFont="true" applyBorder="true" applyAlignment="true" applyProtection="false">
      <alignment horizontal="center" vertical="center" textRotation="0" wrapText="false" indent="0" shrinkToFit="false"/>
      <protection locked="true" hidden="false"/>
    </xf>
    <xf numFmtId="177" fontId="4" fillId="0" borderId="0" xfId="22" applyFont="true" applyBorder="false" applyAlignment="true" applyProtection="false">
      <alignment horizontal="general" vertical="center" textRotation="0" wrapText="false" indent="0" shrinkToFit="false"/>
      <protection locked="true" hidden="false"/>
    </xf>
    <xf numFmtId="164" fontId="22" fillId="0" borderId="0" xfId="0" applyFont="true" applyBorder="false" applyAlignment="true" applyProtection="false">
      <alignment horizontal="center" vertical="center" textRotation="0" wrapText="false" indent="0" shrinkToFit="false"/>
      <protection locked="true" hidden="false"/>
    </xf>
    <xf numFmtId="164" fontId="23" fillId="0" borderId="1" xfId="26" applyFont="true" applyBorder="true" applyAlignment="true" applyProtection="true">
      <alignment horizontal="center" vertical="center" textRotation="0" wrapText="false" indent="0" shrinkToFit="false"/>
      <protection locked="true" hidden="false"/>
    </xf>
    <xf numFmtId="164" fontId="6" fillId="0" borderId="20" xfId="0" applyFont="true" applyBorder="true" applyAlignment="true" applyProtection="false">
      <alignment horizontal="center" vertical="center" textRotation="0" wrapText="false" indent="0" shrinkToFit="false"/>
      <protection locked="true" hidden="false"/>
    </xf>
    <xf numFmtId="169" fontId="22" fillId="0" borderId="0" xfId="15" applyFont="true" applyBorder="true" applyAlignment="true" applyProtection="true">
      <alignment horizontal="center" vertical="center" textRotation="0" wrapText="false" indent="0" shrinkToFit="false"/>
      <protection locked="true" hidden="false"/>
    </xf>
    <xf numFmtId="164" fontId="6" fillId="0" borderId="21"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9" fillId="11" borderId="22" xfId="27" applyFont="true" applyBorder="true" applyAlignment="true" applyProtection="true">
      <alignment horizontal="center" vertical="center" textRotation="0" wrapText="true" indent="0" shrinkToFit="false"/>
      <protection locked="true" hidden="false"/>
    </xf>
    <xf numFmtId="164" fontId="9" fillId="11" borderId="23" xfId="27" applyFont="true" applyBorder="true" applyAlignment="true" applyProtection="true">
      <alignment horizontal="center" vertical="center" textRotation="0" wrapText="true" indent="0" shrinkToFit="false"/>
      <protection locked="true" hidden="false"/>
    </xf>
    <xf numFmtId="164" fontId="5" fillId="11" borderId="2" xfId="27" applyFont="true" applyBorder="false" applyAlignment="true" applyProtection="true">
      <alignment horizontal="center" vertical="center" textRotation="0" wrapText="tru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22" fillId="0" borderId="24" xfId="27" applyFont="true" applyBorder="true" applyAlignment="true" applyProtection="true">
      <alignment horizontal="center" vertical="center" textRotation="0" wrapText="true" indent="0" shrinkToFit="false"/>
      <protection locked="true" hidden="false"/>
    </xf>
    <xf numFmtId="171" fontId="22" fillId="0" borderId="24" xfId="27" applyFont="true" applyBorder="true" applyAlignment="true" applyProtection="true">
      <alignment horizontal="center" vertical="center" textRotation="0" wrapText="true" indent="0" shrinkToFit="false"/>
      <protection locked="true" hidden="false"/>
    </xf>
    <xf numFmtId="179" fontId="22" fillId="0" borderId="24" xfId="27" applyFont="true" applyBorder="true" applyAlignment="true" applyProtection="true">
      <alignment horizontal="center" vertical="center" textRotation="0" wrapText="true" indent="0" shrinkToFit="false"/>
      <protection locked="true" hidden="false"/>
    </xf>
    <xf numFmtId="177" fontId="22" fillId="0" borderId="24" xfId="27" applyFont="true" applyBorder="true" applyAlignment="true" applyProtection="true">
      <alignment horizontal="center" vertical="center" textRotation="0" wrapText="true" indent="0" shrinkToFit="false"/>
      <protection locked="true" hidden="false"/>
    </xf>
    <xf numFmtId="164" fontId="9" fillId="0" borderId="24" xfId="27" applyFont="true" applyBorder="true" applyAlignment="true" applyProtection="true">
      <alignment horizontal="center" vertical="center" textRotation="0" wrapText="true" indent="0" shrinkToFit="false"/>
      <protection locked="true" hidden="false"/>
    </xf>
    <xf numFmtId="179" fontId="9" fillId="0" borderId="2" xfId="27" applyFont="true" applyBorder="false" applyAlignment="true" applyProtection="true">
      <alignment horizontal="center" vertical="center" textRotation="0" wrapText="true" indent="0" shrinkToFit="false"/>
      <protection locked="true" hidden="false"/>
    </xf>
    <xf numFmtId="180" fontId="22" fillId="0" borderId="0" xfId="0" applyFont="true" applyBorder="false" applyAlignment="true" applyProtection="false">
      <alignment horizontal="center" vertical="center" textRotation="0" wrapText="false" indent="0" shrinkToFit="false"/>
      <protection locked="true" hidden="false"/>
    </xf>
    <xf numFmtId="164" fontId="22" fillId="0" borderId="25" xfId="27" applyFont="true" applyBorder="true" applyAlignment="true" applyProtection="true">
      <alignment horizontal="center" vertical="center" textRotation="0" wrapText="true" indent="0" shrinkToFit="false"/>
      <protection locked="true" hidden="false"/>
    </xf>
    <xf numFmtId="164" fontId="22" fillId="0" borderId="2" xfId="27" applyFont="true" applyBorder="true" applyAlignment="true" applyProtection="true">
      <alignment horizontal="center" vertical="center" textRotation="0" wrapText="true" indent="0" shrinkToFit="false"/>
      <protection locked="true" hidden="false"/>
    </xf>
    <xf numFmtId="171" fontId="22" fillId="0" borderId="2" xfId="27" applyFont="true" applyBorder="true" applyAlignment="true" applyProtection="true">
      <alignment horizontal="center" vertical="center" textRotation="0" wrapText="true" indent="0" shrinkToFit="false"/>
      <protection locked="true" hidden="false"/>
    </xf>
    <xf numFmtId="177" fontId="22" fillId="0" borderId="2" xfId="27" applyFont="true" applyBorder="true" applyAlignment="true" applyProtection="true">
      <alignment horizontal="center" vertical="center" textRotation="0" wrapText="true" indent="0" shrinkToFit="false"/>
      <protection locked="true" hidden="false"/>
    </xf>
    <xf numFmtId="179" fontId="22" fillId="0" borderId="2" xfId="27" applyFont="true" applyBorder="true" applyAlignment="true" applyProtection="true">
      <alignment horizontal="center" vertical="center" textRotation="0" wrapText="true" indent="0" shrinkToFit="false"/>
      <protection locked="true" hidden="false"/>
    </xf>
    <xf numFmtId="164" fontId="9" fillId="0" borderId="25" xfId="27" applyFont="true" applyBorder="true" applyAlignment="true" applyProtection="true">
      <alignment horizontal="center" vertical="center" textRotation="0" wrapText="true" indent="0" shrinkToFit="false"/>
      <protection locked="true" hidden="false"/>
    </xf>
    <xf numFmtId="181" fontId="22" fillId="0" borderId="2" xfId="27" applyFont="true" applyBorder="true" applyAlignment="true" applyProtection="true">
      <alignment horizontal="center" vertical="center" textRotation="0" wrapText="true" indent="0" shrinkToFit="false"/>
      <protection locked="true" hidden="false"/>
    </xf>
    <xf numFmtId="164" fontId="22" fillId="0" borderId="2" xfId="27" applyFont="true" applyBorder="true" applyAlignment="true" applyProtection="true">
      <alignment horizontal="center" vertical="center" textRotation="0" wrapText="false" indent="0" shrinkToFit="false"/>
      <protection locked="true" hidden="false"/>
    </xf>
    <xf numFmtId="179" fontId="22" fillId="0" borderId="2" xfId="27" applyFont="true" applyBorder="true" applyAlignment="true" applyProtection="true">
      <alignment horizontal="center" vertical="center" textRotation="0" wrapText="false" indent="0" shrinkToFit="false"/>
      <protection locked="true" hidden="false"/>
    </xf>
    <xf numFmtId="164" fontId="26" fillId="0" borderId="0" xfId="23" applyFont="true" applyBorder="true" applyAlignment="true" applyProtection="false">
      <alignment horizontal="center" vertical="center" textRotation="0" wrapText="false" indent="0" shrinkToFit="false"/>
      <protection locked="true" hidden="false"/>
    </xf>
    <xf numFmtId="180" fontId="26" fillId="0" borderId="0" xfId="23"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80" fontId="22" fillId="0" borderId="2" xfId="27" applyFont="true" applyBorder="true" applyAlignment="true" applyProtection="true">
      <alignment horizontal="center" vertical="center" textRotation="0" wrapText="false" indent="0" shrinkToFit="false"/>
      <protection locked="true" hidden="false"/>
    </xf>
    <xf numFmtId="164" fontId="9" fillId="0" borderId="22" xfId="27" applyFont="true" applyBorder="true" applyAlignment="true" applyProtection="true">
      <alignment horizontal="center" vertical="center" textRotation="0" wrapText="false" indent="0" shrinkToFit="false"/>
      <protection locked="true" hidden="false"/>
    </xf>
    <xf numFmtId="179" fontId="9" fillId="0" borderId="22" xfId="27" applyFont="true" applyBorder="true" applyAlignment="true" applyProtection="true">
      <alignment horizontal="center" vertical="center" textRotation="0" wrapText="false" indent="0" shrinkToFit="false"/>
      <protection locked="true" hidden="false"/>
    </xf>
    <xf numFmtId="164" fontId="22" fillId="0" borderId="24" xfId="27" applyFont="true" applyBorder="true" applyAlignment="true" applyProtection="true">
      <alignment horizontal="center" vertical="center" textRotation="0" wrapText="false" indent="0" shrinkToFit="false"/>
      <protection locked="true" hidden="false"/>
    </xf>
    <xf numFmtId="179" fontId="22" fillId="0" borderId="24" xfId="27" applyFont="true" applyBorder="true" applyAlignment="true" applyProtection="true">
      <alignment horizontal="center" vertical="center" textRotation="0" wrapText="false" indent="0" shrinkToFit="false"/>
      <protection locked="true" hidden="false"/>
    </xf>
    <xf numFmtId="164" fontId="27" fillId="0" borderId="0" xfId="0" applyFont="true" applyBorder="true" applyAlignment="true" applyProtection="false">
      <alignment horizontal="center" vertical="center" textRotation="0" wrapText="false" indent="0" shrinkToFit="false"/>
      <protection locked="true" hidden="false"/>
    </xf>
    <xf numFmtId="164" fontId="28" fillId="11" borderId="3" xfId="28" applyFont="true" applyBorder="true" applyAlignment="true" applyProtection="true">
      <alignment horizontal="center" vertical="center" textRotation="0" wrapText="false" indent="0" shrinkToFit="false"/>
      <protection locked="true" hidden="false"/>
    </xf>
    <xf numFmtId="179" fontId="28" fillId="11" borderId="3" xfId="28" applyFont="true" applyBorder="fals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false">
      <alignment horizontal="center" vertical="center" textRotation="0" wrapText="false" indent="0" shrinkToFit="false"/>
      <protection locked="true" hidden="false"/>
    </xf>
    <xf numFmtId="179" fontId="9" fillId="0" borderId="0" xfId="0" applyFont="true" applyBorder="false" applyAlignment="true" applyProtection="false">
      <alignment horizontal="center" vertical="center" textRotation="0" wrapText="false" indent="0" shrinkToFit="false"/>
      <protection locked="true" hidden="false"/>
    </xf>
    <xf numFmtId="179" fontId="22" fillId="0" borderId="0" xfId="0" applyFont="true" applyBorder="false" applyAlignment="true" applyProtection="false">
      <alignment horizontal="center" vertical="center" textRotation="0" wrapText="false" indent="0" shrinkToFit="false"/>
      <protection locked="true" hidden="false"/>
    </xf>
  </cellXfs>
  <cellStyles count="15">
    <cellStyle name="Normal" xfId="0" builtinId="0"/>
    <cellStyle name="Comma" xfId="15" builtinId="3"/>
    <cellStyle name="Comma [0]" xfId="16" builtinId="6"/>
    <cellStyle name="Currency" xfId="17" builtinId="4"/>
    <cellStyle name="Currency [0]" xfId="18" builtinId="7"/>
    <cellStyle name="Percent" xfId="19" builtinId="5"/>
    <cellStyle name="Moeda 2" xfId="20"/>
    <cellStyle name="Moeda 3" xfId="21"/>
    <cellStyle name="Normal 2" xfId="22"/>
    <cellStyle name="Normal 2 2" xfId="23"/>
    <cellStyle name="Porcentagem 2" xfId="24"/>
    <cellStyle name="Vírgula 2" xfId="25"/>
    <cellStyle name="Excel Built-in Heading 1" xfId="26"/>
    <cellStyle name="Excel Built-in Total" xfId="27"/>
    <cellStyle name="Excel Built-in Heading 3" xfId="2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5B3D7"/>
      <rgbColor rgb="FF993366"/>
      <rgbColor rgb="FFEBF1DE"/>
      <rgbColor rgb="FFDBEEF4"/>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DCE6F2"/>
      <rgbColor rgb="FFD9D9D9"/>
      <rgbColor rgb="FFFFFF99"/>
      <rgbColor rgb="FF8EB4E3"/>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1F497D"/>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externalLink" Target="externalLinks/externalLink1.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45720</xdr:colOff>
      <xdr:row>0</xdr:row>
      <xdr:rowOff>152280</xdr:rowOff>
    </xdr:from>
    <xdr:to>
      <xdr:col>2</xdr:col>
      <xdr:colOff>630000</xdr:colOff>
      <xdr:row>1</xdr:row>
      <xdr:rowOff>302400</xdr:rowOff>
    </xdr:to>
    <xdr:pic>
      <xdr:nvPicPr>
        <xdr:cNvPr id="0" name="Imagem 1" descr="anac_comp_horz_esp-cor.png"/>
        <xdr:cNvPicPr/>
      </xdr:nvPicPr>
      <xdr:blipFill>
        <a:blip r:embed="rId1"/>
        <a:stretch/>
      </xdr:blipFill>
      <xdr:spPr>
        <a:xfrm>
          <a:off x="256320" y="152280"/>
          <a:ext cx="977400" cy="340560"/>
        </a:xfrm>
        <a:prstGeom prst="rect">
          <a:avLst/>
        </a:prstGeom>
        <a:ln w="0">
          <a:noFill/>
        </a:ln>
      </xdr:spPr>
    </xdr:pic>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file://STORAGE1/desktop$/robson.pereira/Desktop/composi&#231;&#227;o%20calculos/C&#193;LCULOS%20AJUSTADOS/AGRICULTURA/milto/Downloads/NovaCopeiragem_vs7.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Utensílios"/>
      <sheetName val="Mat. Consumo"/>
      <sheetName val="Resumo MatUtens"/>
    </sheetNames>
    <sheetDataSet>
      <sheetData sheetId="0">
        <row r="6">
          <cell r="M6">
            <v>4.93</v>
          </cell>
        </row>
        <row r="20">
          <cell r="M20">
            <v>90.41</v>
          </cell>
        </row>
        <row r="34">
          <cell r="M34">
            <v>68.16</v>
          </cell>
        </row>
        <row r="49">
          <cell r="M49">
            <v>10.6</v>
          </cell>
        </row>
        <row r="62">
          <cell r="M62">
            <v>15.92</v>
          </cell>
        </row>
        <row r="76">
          <cell r="M76">
            <v>17.03</v>
          </cell>
        </row>
      </sheetData>
      <sheetData sheetId="1">
        <row r="6">
          <cell r="M6">
            <v>2.98</v>
          </cell>
        </row>
        <row r="18">
          <cell r="M18">
            <v>3.84</v>
          </cell>
        </row>
        <row r="29">
          <cell r="M29">
            <v>10.87</v>
          </cell>
        </row>
        <row r="40">
          <cell r="M40">
            <v>10.73</v>
          </cell>
        </row>
        <row r="52">
          <cell r="M52">
            <v>8.07</v>
          </cell>
        </row>
        <row r="63">
          <cell r="M63">
            <v>9.43</v>
          </cell>
        </row>
        <row r="75">
          <cell r="M75">
            <v>3.18</v>
          </cell>
        </row>
        <row r="88">
          <cell r="M88">
            <v>2.06</v>
          </cell>
        </row>
        <row r="101">
          <cell r="M101">
            <v>4.47</v>
          </cell>
        </row>
        <row r="112">
          <cell r="M112">
            <v>4.12</v>
          </cell>
        </row>
        <row r="123">
          <cell r="M123">
            <v>10.56</v>
          </cell>
        </row>
        <row r="134">
          <cell r="M134">
            <v>1.07</v>
          </cell>
        </row>
        <row r="149">
          <cell r="M149">
            <v>5.4</v>
          </cell>
        </row>
        <row r="162">
          <cell r="M162">
            <v>10.37</v>
          </cell>
        </row>
        <row r="174">
          <cell r="M174">
            <v>12.56</v>
          </cell>
        </row>
        <row r="183">
          <cell r="M183">
            <v>9.5</v>
          </cell>
        </row>
        <row r="195">
          <cell r="M195">
            <v>102.64</v>
          </cell>
        </row>
        <row r="206">
          <cell r="M206">
            <v>24.05</v>
          </cell>
        </row>
        <row r="218">
          <cell r="M218">
            <v>29.71</v>
          </cell>
        </row>
        <row r="230">
          <cell r="M230">
            <v>16.06</v>
          </cell>
        </row>
        <row r="240">
          <cell r="M240">
            <v>26.5</v>
          </cell>
        </row>
        <row r="252">
          <cell r="M252">
            <v>22.55</v>
          </cell>
        </row>
        <row r="265">
          <cell r="M265">
            <v>11.35</v>
          </cell>
        </row>
        <row r="277">
          <cell r="M277">
            <v>12.13</v>
          </cell>
        </row>
      </sheetData>
      <sheetData sheetId="2"/>
    </sheetDataSet>
  </externalBook>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K4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48828125" defaultRowHeight="15" zeroHeight="false" outlineLevelRow="0" outlineLevelCol="0"/>
  <cols>
    <col collapsed="false" customWidth="true" hidden="false" outlineLevel="0" max="1" min="1" style="0" width="2.99"/>
    <col collapsed="false" customWidth="true" hidden="false" outlineLevel="0" max="2" min="2" style="0" width="5.57"/>
    <col collapsed="false" customWidth="true" hidden="false" outlineLevel="0" max="3" min="3" style="1" width="10.85"/>
    <col collapsed="false" customWidth="true" hidden="false" outlineLevel="0" max="4" min="4" style="1" width="53.57"/>
    <col collapsed="false" customWidth="true" hidden="false" outlineLevel="0" max="5" min="5" style="0" width="8.4"/>
    <col collapsed="false" customWidth="true" hidden="false" outlineLevel="0" max="6" min="6" style="0" width="5.01"/>
    <col collapsed="false" customWidth="true" hidden="false" outlineLevel="0" max="7" min="7" style="2" width="11.42"/>
    <col collapsed="false" customWidth="true" hidden="false" outlineLevel="0" max="8" min="8" style="3" width="8"/>
    <col collapsed="false" customWidth="true" hidden="false" outlineLevel="0" max="10" min="10" style="0" width="18"/>
    <col collapsed="false" customWidth="true" hidden="false" outlineLevel="0" max="11" min="11" style="0" width="19.14"/>
    <col collapsed="false" customWidth="true" hidden="false" outlineLevel="0" max="12" min="12" style="0" width="3.86"/>
    <col collapsed="false" customWidth="true" hidden="false" outlineLevel="0" max="257" min="257" style="0" width="2.99"/>
    <col collapsed="false" customWidth="true" hidden="false" outlineLevel="0" max="258" min="258" style="0" width="5.57"/>
    <col collapsed="false" customWidth="true" hidden="false" outlineLevel="0" max="259" min="259" style="0" width="10.85"/>
    <col collapsed="false" customWidth="true" hidden="false" outlineLevel="0" max="260" min="260" style="0" width="53.57"/>
    <col collapsed="false" customWidth="true" hidden="false" outlineLevel="0" max="261" min="261" style="0" width="8.4"/>
    <col collapsed="false" customWidth="true" hidden="false" outlineLevel="0" max="262" min="262" style="0" width="5.01"/>
    <col collapsed="false" customWidth="true" hidden="false" outlineLevel="0" max="263" min="263" style="0" width="11.42"/>
    <col collapsed="false" customWidth="true" hidden="false" outlineLevel="0" max="264" min="264" style="0" width="8"/>
    <col collapsed="false" customWidth="true" hidden="false" outlineLevel="0" max="266" min="266" style="0" width="18"/>
    <col collapsed="false" customWidth="true" hidden="false" outlineLevel="0" max="267" min="267" style="0" width="19.14"/>
    <col collapsed="false" customWidth="true" hidden="false" outlineLevel="0" max="268" min="268" style="0" width="3.86"/>
    <col collapsed="false" customWidth="true" hidden="false" outlineLevel="0" max="513" min="513" style="0" width="2.99"/>
    <col collapsed="false" customWidth="true" hidden="false" outlineLevel="0" max="514" min="514" style="0" width="5.57"/>
    <col collapsed="false" customWidth="true" hidden="false" outlineLevel="0" max="515" min="515" style="0" width="10.85"/>
    <col collapsed="false" customWidth="true" hidden="false" outlineLevel="0" max="516" min="516" style="0" width="53.57"/>
    <col collapsed="false" customWidth="true" hidden="false" outlineLevel="0" max="517" min="517" style="0" width="8.4"/>
    <col collapsed="false" customWidth="true" hidden="false" outlineLevel="0" max="518" min="518" style="0" width="5.01"/>
    <col collapsed="false" customWidth="true" hidden="false" outlineLevel="0" max="519" min="519" style="0" width="11.42"/>
    <col collapsed="false" customWidth="true" hidden="false" outlineLevel="0" max="520" min="520" style="0" width="8"/>
    <col collapsed="false" customWidth="true" hidden="false" outlineLevel="0" max="522" min="522" style="0" width="18"/>
    <col collapsed="false" customWidth="true" hidden="false" outlineLevel="0" max="523" min="523" style="0" width="19.14"/>
    <col collapsed="false" customWidth="true" hidden="false" outlineLevel="0" max="524" min="524" style="0" width="3.86"/>
    <col collapsed="false" customWidth="true" hidden="false" outlineLevel="0" max="769" min="769" style="0" width="2.99"/>
    <col collapsed="false" customWidth="true" hidden="false" outlineLevel="0" max="770" min="770" style="0" width="5.57"/>
    <col collapsed="false" customWidth="true" hidden="false" outlineLevel="0" max="771" min="771" style="0" width="10.85"/>
    <col collapsed="false" customWidth="true" hidden="false" outlineLevel="0" max="772" min="772" style="0" width="53.57"/>
    <col collapsed="false" customWidth="true" hidden="false" outlineLevel="0" max="773" min="773" style="0" width="8.4"/>
    <col collapsed="false" customWidth="true" hidden="false" outlineLevel="0" max="774" min="774" style="0" width="5.01"/>
    <col collapsed="false" customWidth="true" hidden="false" outlineLevel="0" max="775" min="775" style="0" width="11.42"/>
    <col collapsed="false" customWidth="true" hidden="false" outlineLevel="0" max="776" min="776" style="0" width="8"/>
    <col collapsed="false" customWidth="true" hidden="false" outlineLevel="0" max="778" min="778" style="0" width="18"/>
    <col collapsed="false" customWidth="true" hidden="false" outlineLevel="0" max="779" min="779" style="0" width="19.14"/>
    <col collapsed="false" customWidth="true" hidden="false" outlineLevel="0" max="780" min="780" style="0" width="3.86"/>
  </cols>
  <sheetData>
    <row r="2" customFormat="false" ht="25.5" hidden="false" customHeight="true" outlineLevel="0" collapsed="false">
      <c r="B2" s="4"/>
      <c r="D2" s="5" t="s">
        <v>0</v>
      </c>
      <c r="E2" s="5"/>
      <c r="F2" s="5"/>
      <c r="G2" s="5"/>
      <c r="H2" s="5"/>
      <c r="I2" s="5"/>
      <c r="J2" s="5"/>
      <c r="K2" s="5"/>
    </row>
    <row r="3" customFormat="false" ht="12.75" hidden="false" customHeight="true" outlineLevel="0" collapsed="false">
      <c r="B3" s="6"/>
      <c r="C3" s="7"/>
      <c r="D3" s="7"/>
      <c r="E3" s="7"/>
      <c r="F3" s="7"/>
      <c r="G3" s="7"/>
      <c r="H3" s="7"/>
      <c r="I3" s="7"/>
      <c r="J3" s="7"/>
      <c r="K3" s="7"/>
    </row>
    <row r="4" customFormat="false" ht="25.5" hidden="false" customHeight="true" outlineLevel="0" collapsed="false">
      <c r="B4" s="8" t="s">
        <v>1</v>
      </c>
      <c r="C4" s="8"/>
      <c r="D4" s="8"/>
      <c r="E4" s="8"/>
      <c r="F4" s="8"/>
      <c r="G4" s="8"/>
      <c r="H4" s="8"/>
      <c r="I4" s="8"/>
      <c r="J4" s="8"/>
      <c r="K4" s="8"/>
    </row>
    <row r="5" customFormat="false" ht="27.75" hidden="false" customHeight="true" outlineLevel="0" collapsed="false">
      <c r="B5" s="9" t="s">
        <v>2</v>
      </c>
      <c r="C5" s="10" t="s">
        <v>3</v>
      </c>
      <c r="D5" s="10"/>
      <c r="E5" s="10" t="s">
        <v>4</v>
      </c>
      <c r="F5" s="10" t="s">
        <v>5</v>
      </c>
      <c r="G5" s="10" t="s">
        <v>6</v>
      </c>
      <c r="H5" s="10" t="s">
        <v>7</v>
      </c>
      <c r="I5" s="10" t="s">
        <v>8</v>
      </c>
      <c r="J5" s="10" t="s">
        <v>9</v>
      </c>
      <c r="K5" s="10" t="s">
        <v>10</v>
      </c>
    </row>
    <row r="6" customFormat="false" ht="14.25" hidden="false" customHeight="true" outlineLevel="0" collapsed="false">
      <c r="B6" s="11" t="n">
        <v>1</v>
      </c>
      <c r="C6" s="12" t="s">
        <v>11</v>
      </c>
      <c r="D6" s="12"/>
      <c r="E6" s="13" t="s">
        <v>12</v>
      </c>
      <c r="F6" s="14" t="n">
        <v>24</v>
      </c>
      <c r="G6" s="15" t="n">
        <f aca="false">[1]Utensílios!M6</f>
        <v>4.93</v>
      </c>
      <c r="H6" s="16" t="n">
        <f aca="false">IF(G6="","",F6*G6)</f>
        <v>118.32</v>
      </c>
      <c r="I6" s="14" t="n">
        <v>12</v>
      </c>
      <c r="J6" s="17" t="n">
        <f aca="false">IF(H6="","",ROUND((H6/I6),2))</f>
        <v>9.86</v>
      </c>
      <c r="K6" s="18" t="n">
        <f aca="false">IF(J6="","",J6*12)</f>
        <v>118.32</v>
      </c>
    </row>
    <row r="7" s="1" customFormat="true" ht="15" hidden="false" customHeight="true" outlineLevel="0" collapsed="false">
      <c r="B7" s="19" t="n">
        <v>2</v>
      </c>
      <c r="C7" s="12" t="s">
        <v>13</v>
      </c>
      <c r="D7" s="12"/>
      <c r="E7" s="13" t="s">
        <v>14</v>
      </c>
      <c r="F7" s="14" t="n">
        <v>9</v>
      </c>
      <c r="G7" s="15" t="n">
        <f aca="false">[1]Utensílios!M20</f>
        <v>90.41</v>
      </c>
      <c r="H7" s="16" t="n">
        <f aca="false">IF(G7="","",F7*G7)</f>
        <v>813.69</v>
      </c>
      <c r="I7" s="14" t="n">
        <v>12</v>
      </c>
      <c r="J7" s="17" t="n">
        <f aca="false">IF(H7="","",ROUND((H7/I7),2))</f>
        <v>67.81</v>
      </c>
      <c r="K7" s="18" t="n">
        <f aca="false">IF(J7="","",J7*12)</f>
        <v>813.72</v>
      </c>
    </row>
    <row r="8" s="1" customFormat="true" ht="15" hidden="false" customHeight="true" outlineLevel="0" collapsed="false">
      <c r="B8" s="11" t="n">
        <v>3</v>
      </c>
      <c r="C8" s="12" t="s">
        <v>15</v>
      </c>
      <c r="D8" s="12"/>
      <c r="E8" s="13" t="s">
        <v>12</v>
      </c>
      <c r="F8" s="14" t="n">
        <v>2</v>
      </c>
      <c r="G8" s="15" t="n">
        <f aca="false">[1]Utensílios!M34</f>
        <v>68.16</v>
      </c>
      <c r="H8" s="16" t="n">
        <f aca="false">IF(G8="","",F8*G8)</f>
        <v>136.32</v>
      </c>
      <c r="I8" s="14" t="n">
        <v>30</v>
      </c>
      <c r="J8" s="17" t="n">
        <f aca="false">IF(H8="","",ROUND((H8/I8),2))</f>
        <v>4.54</v>
      </c>
      <c r="K8" s="18" t="n">
        <f aca="false">IF(J8="","",J8*12)</f>
        <v>54.48</v>
      </c>
    </row>
    <row r="9" s="1" customFormat="true" ht="15" hidden="false" customHeight="true" outlineLevel="0" collapsed="false">
      <c r="B9" s="19" t="n">
        <v>4</v>
      </c>
      <c r="C9" s="12" t="s">
        <v>16</v>
      </c>
      <c r="D9" s="12"/>
      <c r="E9" s="13" t="s">
        <v>12</v>
      </c>
      <c r="F9" s="14" t="n">
        <v>10</v>
      </c>
      <c r="G9" s="15" t="n">
        <f aca="false">[1]Utensílios!M49</f>
        <v>10.6</v>
      </c>
      <c r="H9" s="16" t="n">
        <f aca="false">IF(G9="","",F9*G9)</f>
        <v>106</v>
      </c>
      <c r="I9" s="14" t="n">
        <v>60</v>
      </c>
      <c r="J9" s="17" t="n">
        <f aca="false">IF(H9="","",ROUND((H9/I9),2))</f>
        <v>1.77</v>
      </c>
      <c r="K9" s="18" t="n">
        <f aca="false">IF(J9="","",J9*12)</f>
        <v>21.24</v>
      </c>
    </row>
    <row r="10" s="1" customFormat="true" ht="15" hidden="false" customHeight="true" outlineLevel="0" collapsed="false">
      <c r="B10" s="11" t="n">
        <v>5</v>
      </c>
      <c r="C10" s="12" t="s">
        <v>17</v>
      </c>
      <c r="D10" s="12"/>
      <c r="E10" s="13" t="s">
        <v>12</v>
      </c>
      <c r="F10" s="14" t="n">
        <v>24</v>
      </c>
      <c r="G10" s="15" t="n">
        <f aca="false">[1]Utensílios!M62</f>
        <v>15.92</v>
      </c>
      <c r="H10" s="16" t="n">
        <f aca="false">IF(G10="","",F10*G10)</f>
        <v>382.08</v>
      </c>
      <c r="I10" s="14" t="n">
        <v>12</v>
      </c>
      <c r="J10" s="17" t="n">
        <f aca="false">IF(H10="","",ROUND((H10/I10),2))</f>
        <v>31.84</v>
      </c>
      <c r="K10" s="18" t="n">
        <f aca="false">IF(J10="","",J10*12)</f>
        <v>382.08</v>
      </c>
    </row>
    <row r="11" s="1" customFormat="true" ht="15" hidden="false" customHeight="true" outlineLevel="0" collapsed="false">
      <c r="B11" s="19" t="n">
        <v>6</v>
      </c>
      <c r="C11" s="12" t="s">
        <v>18</v>
      </c>
      <c r="D11" s="12"/>
      <c r="E11" s="13" t="s">
        <v>12</v>
      </c>
      <c r="F11" s="14" t="n">
        <v>6</v>
      </c>
      <c r="G11" s="15" t="n">
        <f aca="false">[1]Utensílios!M76</f>
        <v>17.03</v>
      </c>
      <c r="H11" s="16" t="n">
        <f aca="false">IF(G11="","",F11*G11)</f>
        <v>102.18</v>
      </c>
      <c r="I11" s="14" t="n">
        <v>12</v>
      </c>
      <c r="J11" s="17" t="n">
        <f aca="false">IF(H11="","",ROUND((H11/I11),2))</f>
        <v>8.52</v>
      </c>
      <c r="K11" s="18" t="n">
        <f aca="false">IF(J11="","",J11*12)</f>
        <v>102.24</v>
      </c>
    </row>
    <row r="12" customFormat="false" ht="4.5" hidden="false" customHeight="true" outlineLevel="0" collapsed="false"/>
    <row r="13" customFormat="false" ht="21" hidden="false" customHeight="true" outlineLevel="0" collapsed="false">
      <c r="C13" s="20" t="s">
        <v>19</v>
      </c>
      <c r="D13" s="20"/>
      <c r="E13" s="20"/>
      <c r="F13" s="20"/>
      <c r="G13" s="20"/>
      <c r="H13" s="20"/>
      <c r="I13" s="20"/>
      <c r="J13" s="21" t="n">
        <f aca="false">SUM(J6:J11)</f>
        <v>124.34</v>
      </c>
      <c r="K13" s="21" t="n">
        <f aca="false">SUM(K6:K11)</f>
        <v>1492.08</v>
      </c>
    </row>
    <row r="14" customFormat="false" ht="15" hidden="false" customHeight="true" outlineLevel="0" collapsed="false"/>
    <row r="15" customFormat="false" ht="33" hidden="false" customHeight="true" outlineLevel="0" collapsed="false">
      <c r="B15" s="8" t="s">
        <v>20</v>
      </c>
      <c r="C15" s="8"/>
      <c r="D15" s="8"/>
      <c r="E15" s="8"/>
      <c r="F15" s="8"/>
      <c r="G15" s="8"/>
      <c r="H15" s="8"/>
      <c r="I15" s="8"/>
      <c r="J15" s="8"/>
      <c r="K15" s="8"/>
    </row>
    <row r="16" customFormat="false" ht="27.75" hidden="false" customHeight="true" outlineLevel="0" collapsed="false">
      <c r="B16" s="9" t="s">
        <v>2</v>
      </c>
      <c r="C16" s="10" t="s">
        <v>3</v>
      </c>
      <c r="D16" s="10"/>
      <c r="E16" s="10"/>
      <c r="F16" s="10"/>
      <c r="G16" s="10" t="s">
        <v>4</v>
      </c>
      <c r="H16" s="10" t="s">
        <v>21</v>
      </c>
      <c r="I16" s="10" t="s">
        <v>6</v>
      </c>
      <c r="J16" s="10" t="s">
        <v>9</v>
      </c>
      <c r="K16" s="10" t="s">
        <v>10</v>
      </c>
    </row>
    <row r="17" customFormat="false" ht="15" hidden="false" customHeight="true" outlineLevel="0" collapsed="false">
      <c r="B17" s="19" t="n">
        <v>7</v>
      </c>
      <c r="C17" s="12" t="s">
        <v>22</v>
      </c>
      <c r="D17" s="12"/>
      <c r="E17" s="12"/>
      <c r="F17" s="12"/>
      <c r="G17" s="22" t="s">
        <v>12</v>
      </c>
      <c r="H17" s="23" t="n">
        <v>17</v>
      </c>
      <c r="I17" s="24" t="n">
        <f aca="false">'[1]Mat. Consumo'!M6</f>
        <v>2.98</v>
      </c>
      <c r="J17" s="17" t="n">
        <f aca="false">IF(I17="","",H17*I17)</f>
        <v>50.66</v>
      </c>
      <c r="K17" s="25" t="n">
        <f aca="false">IF(J17="","",J17*12)</f>
        <v>607.92</v>
      </c>
    </row>
    <row r="18" customFormat="false" ht="14.25" hidden="false" customHeight="true" outlineLevel="0" collapsed="false">
      <c r="B18" s="11" t="n">
        <v>8</v>
      </c>
      <c r="C18" s="12" t="s">
        <v>23</v>
      </c>
      <c r="D18" s="12"/>
      <c r="E18" s="12"/>
      <c r="F18" s="12"/>
      <c r="G18" s="13" t="s">
        <v>12</v>
      </c>
      <c r="H18" s="14" t="n">
        <v>10</v>
      </c>
      <c r="I18" s="15" t="n">
        <f aca="false">'[1]Mat. Consumo'!M18</f>
        <v>3.84</v>
      </c>
      <c r="J18" s="17" t="n">
        <f aca="false">IF(I18="","",H18*I18)</f>
        <v>38.4</v>
      </c>
      <c r="K18" s="25" t="n">
        <f aca="false">IF(J18="","",J18*12)</f>
        <v>460.8</v>
      </c>
    </row>
    <row r="19" s="1" customFormat="true" ht="16.5" hidden="false" customHeight="true" outlineLevel="0" collapsed="false">
      <c r="B19" s="19" t="n">
        <v>9</v>
      </c>
      <c r="C19" s="12" t="s">
        <v>24</v>
      </c>
      <c r="D19" s="12"/>
      <c r="E19" s="12"/>
      <c r="F19" s="12"/>
      <c r="G19" s="13" t="s">
        <v>14</v>
      </c>
      <c r="H19" s="14" t="n">
        <v>130</v>
      </c>
      <c r="I19" s="15" t="n">
        <f aca="false">'[1]Mat. Consumo'!M29</f>
        <v>10.87</v>
      </c>
      <c r="J19" s="17" t="n">
        <f aca="false">IF(I19="","",H19*I19)</f>
        <v>1413.1</v>
      </c>
      <c r="K19" s="25" t="n">
        <f aca="false">IF(J19="","",J19*12)</f>
        <v>16957.2</v>
      </c>
    </row>
    <row r="20" s="1" customFormat="true" ht="15" hidden="false" customHeight="true" outlineLevel="0" collapsed="false">
      <c r="B20" s="19" t="n">
        <v>10</v>
      </c>
      <c r="C20" s="12" t="s">
        <v>25</v>
      </c>
      <c r="D20" s="12"/>
      <c r="E20" s="12"/>
      <c r="F20" s="12"/>
      <c r="G20" s="13" t="s">
        <v>12</v>
      </c>
      <c r="H20" s="14" t="n">
        <v>56</v>
      </c>
      <c r="I20" s="15" t="n">
        <f aca="false">'[1]Mat. Consumo'!M40</f>
        <v>10.73</v>
      </c>
      <c r="J20" s="17" t="n">
        <f aca="false">IF(I20="","",H20*I20)</f>
        <v>600.88</v>
      </c>
      <c r="K20" s="25" t="n">
        <f aca="false">IF(J20="","",J20*12)</f>
        <v>7210.56</v>
      </c>
    </row>
    <row r="21" s="1" customFormat="true" ht="15" hidden="false" customHeight="true" outlineLevel="0" collapsed="false">
      <c r="B21" s="11" t="n">
        <v>11</v>
      </c>
      <c r="C21" s="12" t="s">
        <v>26</v>
      </c>
      <c r="D21" s="12"/>
      <c r="E21" s="12"/>
      <c r="F21" s="12"/>
      <c r="G21" s="13" t="s">
        <v>12</v>
      </c>
      <c r="H21" s="14" t="n">
        <v>4</v>
      </c>
      <c r="I21" s="15" t="n">
        <f aca="false">'[1]Mat. Consumo'!M52</f>
        <v>8.07</v>
      </c>
      <c r="J21" s="17" t="n">
        <f aca="false">IF(I21="","",H21*I21)</f>
        <v>32.28</v>
      </c>
      <c r="K21" s="25" t="n">
        <f aca="false">IF(J21="","",J21*12)</f>
        <v>387.36</v>
      </c>
    </row>
    <row r="22" s="1" customFormat="true" ht="15" hidden="false" customHeight="true" outlineLevel="0" collapsed="false">
      <c r="B22" s="19" t="n">
        <v>12</v>
      </c>
      <c r="C22" s="12" t="s">
        <v>27</v>
      </c>
      <c r="D22" s="12"/>
      <c r="E22" s="12"/>
      <c r="F22" s="12"/>
      <c r="G22" s="13" t="s">
        <v>12</v>
      </c>
      <c r="H22" s="14" t="n">
        <v>1</v>
      </c>
      <c r="I22" s="15" t="n">
        <f aca="false">'[1]Mat. Consumo'!M63</f>
        <v>9.43</v>
      </c>
      <c r="J22" s="17" t="n">
        <f aca="false">IF(I22="","",H22*I22)</f>
        <v>9.43</v>
      </c>
      <c r="K22" s="25" t="n">
        <f aca="false">IF(J22="","",J22*12)</f>
        <v>113.16</v>
      </c>
    </row>
    <row r="23" s="1" customFormat="true" ht="15" hidden="false" customHeight="true" outlineLevel="0" collapsed="false">
      <c r="B23" s="19" t="n">
        <v>13</v>
      </c>
      <c r="C23" s="12" t="s">
        <v>28</v>
      </c>
      <c r="D23" s="12"/>
      <c r="E23" s="12"/>
      <c r="F23" s="12"/>
      <c r="G23" s="13" t="s">
        <v>12</v>
      </c>
      <c r="H23" s="14" t="n">
        <v>125</v>
      </c>
      <c r="I23" s="15" t="n">
        <f aca="false">'[1]Mat. Consumo'!M75</f>
        <v>3.18</v>
      </c>
      <c r="J23" s="17" t="n">
        <f aca="false">IF(I23="","",H23*I23)</f>
        <v>397.5</v>
      </c>
      <c r="K23" s="25" t="n">
        <f aca="false">IF(J23="","",J23*12)</f>
        <v>4770</v>
      </c>
    </row>
    <row r="24" s="1" customFormat="true" ht="15" hidden="false" customHeight="true" outlineLevel="0" collapsed="false">
      <c r="B24" s="11" t="n">
        <v>14</v>
      </c>
      <c r="C24" s="12" t="s">
        <v>29</v>
      </c>
      <c r="D24" s="12"/>
      <c r="E24" s="12"/>
      <c r="F24" s="12"/>
      <c r="G24" s="13" t="s">
        <v>12</v>
      </c>
      <c r="H24" s="14" t="n">
        <v>5</v>
      </c>
      <c r="I24" s="15" t="n">
        <f aca="false">'[1]Mat. Consumo'!M88</f>
        <v>2.06</v>
      </c>
      <c r="J24" s="17" t="n">
        <f aca="false">IF(I24="","",H24*I24)</f>
        <v>10.3</v>
      </c>
      <c r="K24" s="25" t="n">
        <f aca="false">IF(J24="","",J24*12)</f>
        <v>123.6</v>
      </c>
    </row>
    <row r="25" customFormat="false" ht="27" hidden="false" customHeight="true" outlineLevel="0" collapsed="false">
      <c r="B25" s="19" t="n">
        <v>15</v>
      </c>
      <c r="C25" s="12" t="s">
        <v>30</v>
      </c>
      <c r="D25" s="12"/>
      <c r="E25" s="12"/>
      <c r="F25" s="12"/>
      <c r="G25" s="13" t="s">
        <v>12</v>
      </c>
      <c r="H25" s="14" t="n">
        <v>24</v>
      </c>
      <c r="I25" s="15" t="n">
        <f aca="false">'[1]Mat. Consumo'!M101</f>
        <v>4.47</v>
      </c>
      <c r="J25" s="17" t="n">
        <f aca="false">IF(I25="","",H25*I25)</f>
        <v>107.28</v>
      </c>
      <c r="K25" s="25" t="n">
        <f aca="false">IF(J25="","",J25*12)</f>
        <v>1287.36</v>
      </c>
    </row>
    <row r="26" s="26" customFormat="true" ht="15" hidden="false" customHeight="true" outlineLevel="0" collapsed="false">
      <c r="B26" s="19" t="n">
        <v>16</v>
      </c>
      <c r="C26" s="12" t="s">
        <v>31</v>
      </c>
      <c r="D26" s="12"/>
      <c r="E26" s="12"/>
      <c r="F26" s="12"/>
      <c r="G26" s="13" t="s">
        <v>12</v>
      </c>
      <c r="H26" s="14" t="n">
        <v>9</v>
      </c>
      <c r="I26" s="15" t="n">
        <f aca="false">'[1]Mat. Consumo'!M112</f>
        <v>4.12</v>
      </c>
      <c r="J26" s="17" t="n">
        <f aca="false">IF(I26="","",H26*I26)</f>
        <v>37.08</v>
      </c>
      <c r="K26" s="25" t="n">
        <f aca="false">IF(J26="","",J26*12)</f>
        <v>444.96</v>
      </c>
    </row>
    <row r="27" s="1" customFormat="true" ht="27" hidden="false" customHeight="true" outlineLevel="0" collapsed="false">
      <c r="B27" s="11" t="n">
        <v>17</v>
      </c>
      <c r="C27" s="12" t="s">
        <v>32</v>
      </c>
      <c r="D27" s="12"/>
      <c r="E27" s="12"/>
      <c r="F27" s="12"/>
      <c r="G27" s="13" t="s">
        <v>33</v>
      </c>
      <c r="H27" s="14" t="n">
        <v>24</v>
      </c>
      <c r="I27" s="15" t="n">
        <f aca="false">'[1]Mat. Consumo'!M123</f>
        <v>10.56</v>
      </c>
      <c r="J27" s="17" t="n">
        <f aca="false">IF(I27="","",H27*I27)</f>
        <v>253.44</v>
      </c>
      <c r="K27" s="25" t="n">
        <f aca="false">IF(J27="","",J27*12)</f>
        <v>3041.28</v>
      </c>
    </row>
    <row r="28" customFormat="false" ht="27" hidden="false" customHeight="true" outlineLevel="0" collapsed="false">
      <c r="B28" s="19" t="n">
        <v>18</v>
      </c>
      <c r="C28" s="12" t="s">
        <v>34</v>
      </c>
      <c r="D28" s="12"/>
      <c r="E28" s="12"/>
      <c r="F28" s="12"/>
      <c r="G28" s="13" t="s">
        <v>14</v>
      </c>
      <c r="H28" s="14" t="n">
        <v>50</v>
      </c>
      <c r="I28" s="15" t="n">
        <f aca="false">'[1]Mat. Consumo'!M134</f>
        <v>1.07</v>
      </c>
      <c r="J28" s="17" t="n">
        <f aca="false">IF(I28="","",H28*I28)</f>
        <v>53.5</v>
      </c>
      <c r="K28" s="25" t="n">
        <f aca="false">IF(J28="","",J28*12)</f>
        <v>642</v>
      </c>
    </row>
    <row r="29" customFormat="false" ht="27" hidden="false" customHeight="true" outlineLevel="0" collapsed="false">
      <c r="B29" s="19" t="n">
        <v>19</v>
      </c>
      <c r="C29" s="12" t="s">
        <v>35</v>
      </c>
      <c r="D29" s="12"/>
      <c r="E29" s="12"/>
      <c r="F29" s="12"/>
      <c r="G29" s="13" t="s">
        <v>12</v>
      </c>
      <c r="H29" s="14" t="n">
        <v>77</v>
      </c>
      <c r="I29" s="15" t="n">
        <f aca="false">'[1]Mat. Consumo'!M149</f>
        <v>5.4</v>
      </c>
      <c r="J29" s="17" t="n">
        <f aca="false">IF(I29="","",H29*I29)</f>
        <v>415.8</v>
      </c>
      <c r="K29" s="25" t="n">
        <f aca="false">IF(J29="","",J29*12)</f>
        <v>4989.6</v>
      </c>
    </row>
    <row r="30" customFormat="false" ht="37.5" hidden="false" customHeight="true" outlineLevel="0" collapsed="false">
      <c r="B30" s="11" t="n">
        <v>20</v>
      </c>
      <c r="C30" s="12" t="s">
        <v>36</v>
      </c>
      <c r="D30" s="12"/>
      <c r="E30" s="12"/>
      <c r="F30" s="12"/>
      <c r="G30" s="13" t="s">
        <v>33</v>
      </c>
      <c r="H30" s="14" t="n">
        <v>28</v>
      </c>
      <c r="I30" s="15" t="n">
        <f aca="false">'[1]Mat. Consumo'!M162</f>
        <v>10.37</v>
      </c>
      <c r="J30" s="17" t="n">
        <f aca="false">IF(I30="","",H30*I30)</f>
        <v>290.36</v>
      </c>
      <c r="K30" s="25" t="n">
        <f aca="false">IF(J30="","",J30*12)</f>
        <v>3484.32</v>
      </c>
    </row>
    <row r="31" customFormat="false" ht="27" hidden="false" customHeight="true" outlineLevel="0" collapsed="false">
      <c r="B31" s="19" t="n">
        <v>21</v>
      </c>
      <c r="C31" s="12" t="s">
        <v>37</v>
      </c>
      <c r="D31" s="12"/>
      <c r="E31" s="12"/>
      <c r="F31" s="12"/>
      <c r="G31" s="13" t="s">
        <v>12</v>
      </c>
      <c r="H31" s="14" t="n">
        <v>10</v>
      </c>
      <c r="I31" s="15" t="n">
        <f aca="false">'[1]Mat. Consumo'!M174</f>
        <v>12.56</v>
      </c>
      <c r="J31" s="17" t="n">
        <f aca="false">IF(I31="","",H31*I31)</f>
        <v>125.6</v>
      </c>
      <c r="K31" s="25" t="n">
        <f aca="false">IF(J31="","",J31*12)</f>
        <v>1507.2</v>
      </c>
    </row>
    <row r="32" customFormat="false" ht="27" hidden="false" customHeight="true" outlineLevel="0" collapsed="false">
      <c r="B32" s="19" t="n">
        <v>22</v>
      </c>
      <c r="C32" s="12" t="s">
        <v>38</v>
      </c>
      <c r="D32" s="12"/>
      <c r="E32" s="12"/>
      <c r="F32" s="12"/>
      <c r="G32" s="13" t="s">
        <v>33</v>
      </c>
      <c r="H32" s="14" t="n">
        <v>16</v>
      </c>
      <c r="I32" s="15" t="n">
        <f aca="false">'[1]Mat. Consumo'!M183</f>
        <v>9.5</v>
      </c>
      <c r="J32" s="17" t="n">
        <f aca="false">IF(I32="","",H32*I32)</f>
        <v>152</v>
      </c>
      <c r="K32" s="25" t="n">
        <f aca="false">IF(J32="","",J32*12)</f>
        <v>1824</v>
      </c>
    </row>
    <row r="33" customFormat="false" ht="37.5" hidden="false" customHeight="true" outlineLevel="0" collapsed="false">
      <c r="B33" s="19" t="n">
        <v>23</v>
      </c>
      <c r="C33" s="12" t="s">
        <v>39</v>
      </c>
      <c r="D33" s="12"/>
      <c r="E33" s="12"/>
      <c r="F33" s="12"/>
      <c r="G33" s="27" t="s">
        <v>40</v>
      </c>
      <c r="H33" s="14" t="n">
        <v>1</v>
      </c>
      <c r="I33" s="15" t="n">
        <f aca="false">'[1]Mat. Consumo'!M195</f>
        <v>102.64</v>
      </c>
      <c r="J33" s="17" t="n">
        <f aca="false">IF(I33="","",H33*I33)</f>
        <v>102.64</v>
      </c>
      <c r="K33" s="25" t="n">
        <f aca="false">IF(J33="","",J33*12)</f>
        <v>1231.68</v>
      </c>
    </row>
    <row r="34" customFormat="false" ht="37.5" hidden="false" customHeight="true" outlineLevel="0" collapsed="false">
      <c r="B34" s="19" t="n">
        <v>24</v>
      </c>
      <c r="C34" s="12" t="s">
        <v>41</v>
      </c>
      <c r="D34" s="12"/>
      <c r="E34" s="12"/>
      <c r="F34" s="12"/>
      <c r="G34" s="13" t="s">
        <v>12</v>
      </c>
      <c r="H34" s="14" t="n">
        <v>1</v>
      </c>
      <c r="I34" s="15" t="n">
        <f aca="false">'[1]Mat. Consumo'!M206</f>
        <v>24.05</v>
      </c>
      <c r="J34" s="17" t="n">
        <f aca="false">IF(I34="","",H34*I34)</f>
        <v>24.05</v>
      </c>
      <c r="K34" s="25" t="n">
        <f aca="false">IF(J34="","",J34*12)</f>
        <v>288.6</v>
      </c>
    </row>
    <row r="35" customFormat="false" ht="27" hidden="false" customHeight="true" outlineLevel="0" collapsed="false">
      <c r="B35" s="19" t="n">
        <v>25</v>
      </c>
      <c r="C35" s="12" t="s">
        <v>42</v>
      </c>
      <c r="D35" s="12"/>
      <c r="E35" s="12"/>
      <c r="F35" s="12"/>
      <c r="G35" s="13" t="s">
        <v>12</v>
      </c>
      <c r="H35" s="14" t="n">
        <v>2</v>
      </c>
      <c r="I35" s="15" t="n">
        <f aca="false">'[1]Mat. Consumo'!M218</f>
        <v>29.71</v>
      </c>
      <c r="J35" s="17" t="n">
        <f aca="false">IF(I35="","",H35*I35)</f>
        <v>59.42</v>
      </c>
      <c r="K35" s="25" t="n">
        <f aca="false">IF(J35="","",J35*12)</f>
        <v>713.04</v>
      </c>
    </row>
    <row r="36" customFormat="false" ht="37.5" hidden="false" customHeight="true" outlineLevel="0" collapsed="false">
      <c r="B36" s="19" t="n">
        <v>26</v>
      </c>
      <c r="C36" s="12" t="s">
        <v>43</v>
      </c>
      <c r="D36" s="12"/>
      <c r="E36" s="12"/>
      <c r="F36" s="12"/>
      <c r="G36" s="13" t="s">
        <v>12</v>
      </c>
      <c r="H36" s="14" t="n">
        <v>1</v>
      </c>
      <c r="I36" s="15" t="n">
        <f aca="false">'[1]Mat. Consumo'!M230</f>
        <v>16.06</v>
      </c>
      <c r="J36" s="17" t="n">
        <f aca="false">IF(I36="","",H36*I36)</f>
        <v>16.06</v>
      </c>
      <c r="K36" s="25" t="n">
        <f aca="false">IF(J36="","",J36*12)</f>
        <v>192.72</v>
      </c>
    </row>
    <row r="37" s="1" customFormat="true" ht="37.5" hidden="false" customHeight="true" outlineLevel="0" collapsed="false">
      <c r="B37" s="19" t="n">
        <v>27</v>
      </c>
      <c r="C37" s="12" t="s">
        <v>44</v>
      </c>
      <c r="D37" s="12"/>
      <c r="E37" s="12"/>
      <c r="F37" s="12"/>
      <c r="G37" s="13" t="s">
        <v>12</v>
      </c>
      <c r="H37" s="14" t="n">
        <v>2</v>
      </c>
      <c r="I37" s="15" t="n">
        <f aca="false">'[1]Mat. Consumo'!M240</f>
        <v>26.5</v>
      </c>
      <c r="J37" s="17" t="n">
        <f aca="false">IF(I37="","",H37*I37)</f>
        <v>53</v>
      </c>
      <c r="K37" s="25" t="n">
        <f aca="false">IF(J37="","",J37*12)</f>
        <v>636</v>
      </c>
    </row>
    <row r="38" customFormat="false" ht="37.5" hidden="false" customHeight="true" outlineLevel="0" collapsed="false">
      <c r="B38" s="19" t="n">
        <v>28</v>
      </c>
      <c r="C38" s="12" t="s">
        <v>45</v>
      </c>
      <c r="D38" s="12"/>
      <c r="E38" s="12"/>
      <c r="F38" s="12"/>
      <c r="G38" s="13" t="s">
        <v>12</v>
      </c>
      <c r="H38" s="14" t="n">
        <v>1</v>
      </c>
      <c r="I38" s="15" t="n">
        <f aca="false">'[1]Mat. Consumo'!M252</f>
        <v>22.55</v>
      </c>
      <c r="J38" s="17" t="n">
        <f aca="false">IF(I38="","",H38*I38)</f>
        <v>22.55</v>
      </c>
      <c r="K38" s="25" t="n">
        <f aca="false">IF(J38="","",J38*12)</f>
        <v>270.6</v>
      </c>
    </row>
    <row r="39" customFormat="false" ht="27" hidden="false" customHeight="true" outlineLevel="0" collapsed="false">
      <c r="B39" s="19" t="n">
        <v>29</v>
      </c>
      <c r="C39" s="12" t="s">
        <v>46</v>
      </c>
      <c r="D39" s="12"/>
      <c r="E39" s="12"/>
      <c r="F39" s="12"/>
      <c r="G39" s="13" t="s">
        <v>12</v>
      </c>
      <c r="H39" s="14" t="n">
        <v>1</v>
      </c>
      <c r="I39" s="15" t="n">
        <f aca="false">'[1]Mat. Consumo'!M265</f>
        <v>11.35</v>
      </c>
      <c r="J39" s="17" t="n">
        <f aca="false">IF(I39="","",H39*I39)</f>
        <v>11.35</v>
      </c>
      <c r="K39" s="25" t="n">
        <f aca="false">IF(J39="","",J39*12)</f>
        <v>136.2</v>
      </c>
    </row>
    <row r="40" customFormat="false" ht="36" hidden="false" customHeight="true" outlineLevel="0" collapsed="false">
      <c r="B40" s="19" t="n">
        <v>30</v>
      </c>
      <c r="C40" s="12" t="s">
        <v>47</v>
      </c>
      <c r="D40" s="12"/>
      <c r="E40" s="12"/>
      <c r="F40" s="12"/>
      <c r="G40" s="13" t="s">
        <v>48</v>
      </c>
      <c r="H40" s="14" t="n">
        <v>120</v>
      </c>
      <c r="I40" s="15" t="n">
        <f aca="false">'[1]Mat. Consumo'!$M$277</f>
        <v>12.13</v>
      </c>
      <c r="J40" s="17" t="n">
        <f aca="false">IF(I40="","",H40*I40)</f>
        <v>1455.6</v>
      </c>
      <c r="K40" s="25" t="n">
        <f aca="false">IF(J40="","",J40*12)</f>
        <v>17467.2</v>
      </c>
    </row>
    <row r="41" customFormat="false" ht="4.5" hidden="false" customHeight="true" outlineLevel="0" collapsed="false"/>
    <row r="42" customFormat="false" ht="23.25" hidden="false" customHeight="true" outlineLevel="0" collapsed="false">
      <c r="C42" s="28" t="s">
        <v>49</v>
      </c>
      <c r="D42" s="28"/>
      <c r="E42" s="28"/>
      <c r="F42" s="28"/>
      <c r="G42" s="28"/>
      <c r="H42" s="28"/>
      <c r="I42" s="28"/>
      <c r="J42" s="21" t="n">
        <f aca="false">SUM(J17:J40)</f>
        <v>5732.28</v>
      </c>
      <c r="K42" s="21" t="n">
        <f aca="false">SUM(K17:K40)</f>
        <v>68787.36</v>
      </c>
    </row>
    <row r="43" customFormat="false" ht="6.75" hidden="false" customHeight="true" outlineLevel="0" collapsed="false"/>
    <row r="44" customFormat="false" ht="21" hidden="false" customHeight="true" outlineLevel="0" collapsed="false">
      <c r="C44" s="29" t="s">
        <v>50</v>
      </c>
      <c r="D44" s="29"/>
      <c r="E44" s="29"/>
      <c r="F44" s="29"/>
      <c r="G44" s="29"/>
      <c r="H44" s="29"/>
      <c r="I44" s="29"/>
      <c r="J44" s="30" t="n">
        <f aca="false">SUM(J13,J42)</f>
        <v>5856.62</v>
      </c>
      <c r="K44" s="30" t="n">
        <f aca="false">SUM(K13,K42)</f>
        <v>70279.44</v>
      </c>
    </row>
    <row r="46" customFormat="false" ht="15" hidden="false" customHeight="false" outlineLevel="0" collapsed="false">
      <c r="J46" s="31"/>
    </row>
  </sheetData>
  <mergeCells count="38">
    <mergeCell ref="D2:K2"/>
    <mergeCell ref="B4:K4"/>
    <mergeCell ref="C5:D5"/>
    <mergeCell ref="C6:D6"/>
    <mergeCell ref="C7:D7"/>
    <mergeCell ref="C8:D8"/>
    <mergeCell ref="C9:D9"/>
    <mergeCell ref="C10:D10"/>
    <mergeCell ref="C11:D11"/>
    <mergeCell ref="C13:I13"/>
    <mergeCell ref="B15:K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1:F31"/>
    <mergeCell ref="C32:F32"/>
    <mergeCell ref="C33:F33"/>
    <mergeCell ref="C34:F34"/>
    <mergeCell ref="C35:F35"/>
    <mergeCell ref="C36:F36"/>
    <mergeCell ref="C37:F37"/>
    <mergeCell ref="C38:F38"/>
    <mergeCell ref="C39:F39"/>
    <mergeCell ref="C40:F40"/>
    <mergeCell ref="C42:I42"/>
    <mergeCell ref="C44:I4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Q1048576"/>
  <sheetViews>
    <sheetView showFormulas="false" showGridLines="true" showRowColHeaders="true" showZeros="true" rightToLeft="false" tabSelected="true" showOutlineSymbols="true" defaultGridColor="true" view="normal" topLeftCell="A43" colorId="64" zoomScale="100" zoomScaleNormal="100" zoomScalePageLayoutView="100" workbookViewId="0">
      <selection pane="topLeft" activeCell="J127" activeCellId="0" sqref="J127"/>
    </sheetView>
  </sheetViews>
  <sheetFormatPr defaultColWidth="9.00390625" defaultRowHeight="15" zeroHeight="false" outlineLevelRow="0" outlineLevelCol="0"/>
  <cols>
    <col collapsed="false" customWidth="true" hidden="false" outlineLevel="0" max="2" min="2" style="0" width="10.42"/>
    <col collapsed="false" customWidth="true" hidden="false" outlineLevel="0" max="3" min="3" style="0" width="49.57"/>
    <col collapsed="false" customWidth="true" hidden="false" outlineLevel="0" max="6" min="6" style="0" width="5.7"/>
    <col collapsed="false" customWidth="false" hidden="true" outlineLevel="0" max="8" min="8" style="0" width="9"/>
    <col collapsed="false" customWidth="true" hidden="false" outlineLevel="0" max="9" min="9" style="0" width="9.42"/>
    <col collapsed="false" customWidth="true" hidden="false" outlineLevel="0" max="10" min="10" style="0" width="29.44"/>
    <col collapsed="false" customWidth="true" hidden="false" outlineLevel="0" max="12" min="12" style="0" width="11.53"/>
    <col collapsed="false" customWidth="true" hidden="false" outlineLevel="0" max="13" min="13" style="0" width="10.84"/>
  </cols>
  <sheetData>
    <row r="1" customFormat="false" ht="15" hidden="false" customHeight="false" outlineLevel="0" collapsed="false">
      <c r="B1" s="32" t="s">
        <v>51</v>
      </c>
      <c r="C1" s="32"/>
      <c r="D1" s="32"/>
      <c r="E1" s="32"/>
      <c r="F1" s="32"/>
      <c r="G1" s="32"/>
      <c r="H1" s="32"/>
      <c r="I1" s="32"/>
      <c r="J1" s="32"/>
    </row>
    <row r="2" customFormat="false" ht="15" hidden="false" customHeight="false" outlineLevel="0" collapsed="false">
      <c r="B2" s="33" t="s">
        <v>52</v>
      </c>
      <c r="C2" s="33"/>
      <c r="D2" s="33"/>
      <c r="E2" s="33"/>
      <c r="F2" s="33"/>
      <c r="G2" s="33"/>
      <c r="H2" s="33"/>
      <c r="I2" s="33"/>
      <c r="J2" s="33"/>
    </row>
    <row r="3" customFormat="false" ht="15" hidden="false" customHeight="false" outlineLevel="0" collapsed="false">
      <c r="B3" s="34" t="s">
        <v>53</v>
      </c>
      <c r="C3" s="35" t="s">
        <v>54</v>
      </c>
      <c r="D3" s="35"/>
      <c r="E3" s="35"/>
      <c r="F3" s="35"/>
      <c r="G3" s="35"/>
      <c r="H3" s="35"/>
      <c r="I3" s="36"/>
      <c r="J3" s="36"/>
    </row>
    <row r="4" customFormat="false" ht="15" hidden="false" customHeight="false" outlineLevel="0" collapsed="false">
      <c r="B4" s="34" t="s">
        <v>55</v>
      </c>
      <c r="C4" s="35" t="s">
        <v>56</v>
      </c>
      <c r="D4" s="35"/>
      <c r="E4" s="35"/>
      <c r="F4" s="35"/>
      <c r="G4" s="35"/>
      <c r="H4" s="35"/>
      <c r="I4" s="37" t="s">
        <v>57</v>
      </c>
      <c r="J4" s="37"/>
    </row>
    <row r="5" customFormat="false" ht="38.05" hidden="false" customHeight="true" outlineLevel="0" collapsed="false">
      <c r="B5" s="34" t="s">
        <v>58</v>
      </c>
      <c r="C5" s="35" t="s">
        <v>59</v>
      </c>
      <c r="D5" s="35"/>
      <c r="E5" s="35"/>
      <c r="F5" s="35"/>
      <c r="G5" s="35"/>
      <c r="H5" s="35"/>
      <c r="I5" s="38" t="s">
        <v>60</v>
      </c>
      <c r="J5" s="38"/>
    </row>
    <row r="6" customFormat="false" ht="13.8" hidden="false" customHeight="false" outlineLevel="0" collapsed="false">
      <c r="B6" s="34" t="s">
        <v>61</v>
      </c>
      <c r="C6" s="35" t="s">
        <v>62</v>
      </c>
      <c r="D6" s="35"/>
      <c r="E6" s="35"/>
      <c r="F6" s="35"/>
      <c r="G6" s="35"/>
      <c r="H6" s="35"/>
      <c r="I6" s="39" t="s">
        <v>63</v>
      </c>
      <c r="J6" s="39"/>
    </row>
    <row r="7" customFormat="false" ht="15" hidden="false" customHeight="false" outlineLevel="0" collapsed="false">
      <c r="B7" s="33" t="s">
        <v>64</v>
      </c>
      <c r="C7" s="33"/>
      <c r="D7" s="33"/>
      <c r="E7" s="33"/>
      <c r="F7" s="33"/>
      <c r="G7" s="33"/>
      <c r="H7" s="33"/>
      <c r="I7" s="33"/>
      <c r="J7" s="33"/>
    </row>
    <row r="8" customFormat="false" ht="15" hidden="false" customHeight="false" outlineLevel="0" collapsed="false">
      <c r="B8" s="34" t="s">
        <v>65</v>
      </c>
      <c r="C8" s="34"/>
      <c r="D8" s="34" t="s">
        <v>66</v>
      </c>
      <c r="E8" s="34"/>
      <c r="F8" s="34" t="s">
        <v>67</v>
      </c>
      <c r="G8" s="34"/>
      <c r="H8" s="34"/>
      <c r="I8" s="34"/>
      <c r="J8" s="34"/>
    </row>
    <row r="9" customFormat="false" ht="13.8" hidden="false" customHeight="false" outlineLevel="0" collapsed="false">
      <c r="B9" s="40" t="s">
        <v>68</v>
      </c>
      <c r="C9" s="40"/>
      <c r="D9" s="34" t="s">
        <v>69</v>
      </c>
      <c r="E9" s="34"/>
      <c r="F9" s="34" t="n">
        <v>70</v>
      </c>
      <c r="G9" s="34"/>
      <c r="H9" s="34"/>
      <c r="I9" s="34"/>
      <c r="J9" s="34"/>
    </row>
    <row r="10" customFormat="false" ht="15" hidden="false" customHeight="false" outlineLevel="0" collapsed="false">
      <c r="B10" s="33" t="s">
        <v>70</v>
      </c>
      <c r="C10" s="33"/>
      <c r="D10" s="33"/>
      <c r="E10" s="33"/>
      <c r="F10" s="33"/>
      <c r="G10" s="33"/>
      <c r="H10" s="33"/>
      <c r="I10" s="33"/>
      <c r="J10" s="33"/>
    </row>
    <row r="11" customFormat="false" ht="65.65" hidden="false" customHeight="true" outlineLevel="0" collapsed="false">
      <c r="B11" s="34" t="n">
        <v>1</v>
      </c>
      <c r="C11" s="35" t="s">
        <v>71</v>
      </c>
      <c r="D11" s="35"/>
      <c r="E11" s="35"/>
      <c r="F11" s="35"/>
      <c r="G11" s="35"/>
      <c r="H11" s="35"/>
      <c r="I11" s="41" t="s">
        <v>72</v>
      </c>
      <c r="J11" s="41"/>
    </row>
    <row r="12" customFormat="false" ht="13.8" hidden="false" customHeight="false" outlineLevel="0" collapsed="false">
      <c r="B12" s="34" t="n">
        <v>2</v>
      </c>
      <c r="C12" s="35" t="s">
        <v>73</v>
      </c>
      <c r="D12" s="35"/>
      <c r="E12" s="35"/>
      <c r="F12" s="35"/>
      <c r="G12" s="35"/>
      <c r="H12" s="35"/>
      <c r="I12" s="42" t="s">
        <v>74</v>
      </c>
      <c r="J12" s="42"/>
    </row>
    <row r="13" customFormat="false" ht="13.8" hidden="false" customHeight="false" outlineLevel="0" collapsed="false">
      <c r="B13" s="34" t="n">
        <v>3</v>
      </c>
      <c r="C13" s="35" t="s">
        <v>75</v>
      </c>
      <c r="D13" s="35"/>
      <c r="E13" s="35"/>
      <c r="F13" s="35"/>
      <c r="G13" s="35"/>
      <c r="H13" s="35"/>
      <c r="I13" s="43" t="n">
        <v>1516</v>
      </c>
      <c r="J13" s="43"/>
    </row>
    <row r="14" customFormat="false" ht="13.8" hidden="false" customHeight="false" outlineLevel="0" collapsed="false">
      <c r="B14" s="34" t="n">
        <v>4</v>
      </c>
      <c r="C14" s="35" t="s">
        <v>76</v>
      </c>
      <c r="D14" s="35"/>
      <c r="E14" s="35"/>
      <c r="F14" s="35"/>
      <c r="G14" s="35"/>
      <c r="H14" s="35"/>
      <c r="I14" s="40" t="s">
        <v>68</v>
      </c>
      <c r="J14" s="40"/>
    </row>
    <row r="15" customFormat="false" ht="13.8" hidden="false" customHeight="false" outlineLevel="0" collapsed="false">
      <c r="B15" s="34" t="n">
        <v>5</v>
      </c>
      <c r="C15" s="35" t="s">
        <v>77</v>
      </c>
      <c r="D15" s="35"/>
      <c r="E15" s="35"/>
      <c r="F15" s="35"/>
      <c r="G15" s="35"/>
      <c r="H15" s="35"/>
      <c r="I15" s="36" t="s">
        <v>78</v>
      </c>
      <c r="J15" s="36"/>
    </row>
    <row r="16" customFormat="false" ht="15" hidden="false" customHeight="false" outlineLevel="0" collapsed="false">
      <c r="B16" s="44" t="s">
        <v>79</v>
      </c>
      <c r="C16" s="44"/>
      <c r="D16" s="44"/>
      <c r="E16" s="44"/>
      <c r="F16" s="44"/>
      <c r="G16" s="44"/>
      <c r="H16" s="44"/>
      <c r="I16" s="44"/>
      <c r="J16" s="44"/>
    </row>
    <row r="17" customFormat="false" ht="15" hidden="false" customHeight="false" outlineLevel="0" collapsed="false">
      <c r="B17" s="40" t="n">
        <v>1</v>
      </c>
      <c r="C17" s="40" t="s">
        <v>80</v>
      </c>
      <c r="D17" s="40"/>
      <c r="E17" s="40"/>
      <c r="F17" s="40"/>
      <c r="G17" s="40"/>
      <c r="H17" s="40"/>
      <c r="I17" s="40" t="s">
        <v>81</v>
      </c>
      <c r="J17" s="40" t="s">
        <v>82</v>
      </c>
    </row>
    <row r="18" customFormat="false" ht="13.8" hidden="false" customHeight="false" outlineLevel="0" collapsed="false">
      <c r="B18" s="40" t="s">
        <v>53</v>
      </c>
      <c r="C18" s="35" t="s">
        <v>83</v>
      </c>
      <c r="D18" s="35"/>
      <c r="E18" s="35"/>
      <c r="F18" s="35"/>
      <c r="G18" s="35"/>
      <c r="H18" s="35"/>
      <c r="I18" s="45"/>
      <c r="J18" s="46" t="n">
        <f aca="false">I13</f>
        <v>1516</v>
      </c>
    </row>
    <row r="19" customFormat="false" ht="15" hidden="false" customHeight="false" outlineLevel="0" collapsed="false">
      <c r="B19" s="40" t="s">
        <v>55</v>
      </c>
      <c r="C19" s="35" t="s">
        <v>84</v>
      </c>
      <c r="D19" s="35"/>
      <c r="E19" s="35"/>
      <c r="F19" s="35"/>
      <c r="G19" s="35"/>
      <c r="H19" s="35"/>
      <c r="I19" s="47"/>
      <c r="J19" s="48" t="n">
        <v>0</v>
      </c>
    </row>
    <row r="20" customFormat="false" ht="13.8" hidden="false" customHeight="false" outlineLevel="0" collapsed="false">
      <c r="B20" s="40" t="s">
        <v>58</v>
      </c>
      <c r="C20" s="35" t="s">
        <v>85</v>
      </c>
      <c r="D20" s="35"/>
      <c r="E20" s="35"/>
      <c r="F20" s="35"/>
      <c r="G20" s="35"/>
      <c r="H20" s="35"/>
      <c r="I20" s="47"/>
      <c r="J20" s="48" t="n">
        <v>0</v>
      </c>
    </row>
    <row r="21" customFormat="false" ht="13.8" hidden="false" customHeight="false" outlineLevel="0" collapsed="false">
      <c r="B21" s="40" t="s">
        <v>61</v>
      </c>
      <c r="C21" s="35" t="s">
        <v>86</v>
      </c>
      <c r="D21" s="35"/>
      <c r="E21" s="35"/>
      <c r="F21" s="35"/>
      <c r="G21" s="35"/>
      <c r="H21" s="35"/>
      <c r="I21" s="49"/>
      <c r="J21" s="48" t="n">
        <f aca="false">SUM(J18,J20)/200*0.2*I21*15</f>
        <v>0</v>
      </c>
    </row>
    <row r="22" customFormat="false" ht="13.8" hidden="false" customHeight="false" outlineLevel="0" collapsed="false">
      <c r="B22" s="40" t="s">
        <v>87</v>
      </c>
      <c r="C22" s="35" t="s">
        <v>88</v>
      </c>
      <c r="D22" s="35"/>
      <c r="E22" s="35"/>
      <c r="F22" s="35"/>
      <c r="G22" s="35"/>
      <c r="H22" s="35"/>
      <c r="I22" s="47"/>
    </row>
    <row r="23" customFormat="false" ht="13.8" hidden="false" customHeight="false" outlineLevel="0" collapsed="false">
      <c r="B23" s="40" t="s">
        <v>89</v>
      </c>
      <c r="C23" s="35" t="s">
        <v>90</v>
      </c>
      <c r="D23" s="35"/>
      <c r="E23" s="35"/>
      <c r="F23" s="35"/>
      <c r="G23" s="35"/>
      <c r="H23" s="35"/>
      <c r="I23" s="47"/>
      <c r="J23" s="48"/>
    </row>
    <row r="24" customFormat="false" ht="13.8" hidden="false" customHeight="false" outlineLevel="0" collapsed="false">
      <c r="B24" s="40" t="s">
        <v>91</v>
      </c>
      <c r="C24" s="40"/>
      <c r="D24" s="40"/>
      <c r="E24" s="40"/>
      <c r="F24" s="40"/>
      <c r="G24" s="40"/>
      <c r="H24" s="40"/>
      <c r="I24" s="40"/>
      <c r="J24" s="50" t="n">
        <f aca="false">SUM(J18:J23)</f>
        <v>1516</v>
      </c>
    </row>
    <row r="25" customFormat="false" ht="15" hidden="false" customHeight="false" outlineLevel="0" collapsed="false">
      <c r="B25" s="51"/>
      <c r="C25" s="51"/>
      <c r="D25" s="51"/>
      <c r="E25" s="51"/>
      <c r="F25" s="51"/>
      <c r="G25" s="51"/>
      <c r="H25" s="51"/>
      <c r="I25" s="51"/>
      <c r="J25" s="52"/>
    </row>
    <row r="26" customFormat="false" ht="15" hidden="false" customHeight="false" outlineLevel="0" collapsed="false">
      <c r="B26" s="44" t="s">
        <v>92</v>
      </c>
      <c r="C26" s="44"/>
      <c r="D26" s="44"/>
      <c r="E26" s="44"/>
      <c r="F26" s="44"/>
      <c r="G26" s="44"/>
      <c r="H26" s="44"/>
      <c r="I26" s="44"/>
      <c r="J26" s="44"/>
    </row>
    <row r="27" customFormat="false" ht="15" hidden="false" customHeight="false" outlineLevel="0" collapsed="false">
      <c r="B27" s="53" t="s">
        <v>93</v>
      </c>
      <c r="C27" s="53"/>
      <c r="D27" s="53"/>
      <c r="E27" s="53"/>
      <c r="F27" s="53"/>
      <c r="G27" s="53"/>
      <c r="H27" s="53"/>
      <c r="I27" s="53" t="s">
        <v>81</v>
      </c>
      <c r="J27" s="53" t="s">
        <v>82</v>
      </c>
    </row>
    <row r="28" customFormat="false" ht="15" hidden="false" customHeight="false" outlineLevel="0" collapsed="false">
      <c r="B28" s="40" t="s">
        <v>53</v>
      </c>
      <c r="C28" s="35" t="s">
        <v>94</v>
      </c>
      <c r="D28" s="35"/>
      <c r="E28" s="35"/>
      <c r="F28" s="35"/>
      <c r="G28" s="35"/>
      <c r="H28" s="35"/>
      <c r="I28" s="54" t="n">
        <v>0.0833</v>
      </c>
      <c r="J28" s="48" t="n">
        <f aca="false">TRUNC($J$24*I28,2)</f>
        <v>126.28</v>
      </c>
    </row>
    <row r="29" customFormat="false" ht="13.8" hidden="false" customHeight="false" outlineLevel="0" collapsed="false">
      <c r="B29" s="40" t="s">
        <v>55</v>
      </c>
      <c r="C29" s="35" t="s">
        <v>95</v>
      </c>
      <c r="D29" s="35"/>
      <c r="E29" s="35"/>
      <c r="F29" s="35"/>
      <c r="G29" s="35"/>
      <c r="H29" s="35"/>
      <c r="I29" s="55" t="n">
        <v>0.121</v>
      </c>
      <c r="J29" s="48" t="n">
        <f aca="false">TRUNC($J$24*I29,2)</f>
        <v>183.43</v>
      </c>
      <c r="K29" s="0" t="s">
        <v>96</v>
      </c>
      <c r="L29" s="0" t="s">
        <v>97</v>
      </c>
    </row>
    <row r="30" customFormat="false" ht="15" hidden="false" customHeight="false" outlineLevel="0" collapsed="false">
      <c r="B30" s="40" t="s">
        <v>98</v>
      </c>
      <c r="C30" s="40"/>
      <c r="D30" s="40"/>
      <c r="E30" s="40"/>
      <c r="F30" s="40"/>
      <c r="G30" s="40"/>
      <c r="H30" s="40"/>
      <c r="I30" s="56" t="n">
        <f aca="false">SUM(I28:I29)</f>
        <v>0.2043</v>
      </c>
      <c r="J30" s="57" t="n">
        <f aca="false">SUM(J28:J29)</f>
        <v>309.71</v>
      </c>
    </row>
    <row r="31" customFormat="false" ht="15" hidden="false" customHeight="false" outlineLevel="0" collapsed="false">
      <c r="B31" s="58"/>
      <c r="C31" s="58"/>
      <c r="D31" s="58"/>
      <c r="E31" s="58"/>
      <c r="F31" s="58"/>
      <c r="G31" s="58"/>
      <c r="H31" s="58"/>
      <c r="I31" s="58"/>
      <c r="J31" s="58"/>
    </row>
    <row r="32" customFormat="false" ht="15" hidden="false" customHeight="false" outlineLevel="0" collapsed="false">
      <c r="B32" s="53" t="s">
        <v>99</v>
      </c>
      <c r="C32" s="53"/>
      <c r="D32" s="53"/>
      <c r="E32" s="53"/>
      <c r="F32" s="53"/>
      <c r="G32" s="53"/>
      <c r="H32" s="53"/>
      <c r="I32" s="53" t="s">
        <v>81</v>
      </c>
      <c r="J32" s="53" t="s">
        <v>82</v>
      </c>
    </row>
    <row r="33" customFormat="false" ht="13.8" hidden="false" customHeight="false" outlineLevel="0" collapsed="false">
      <c r="B33" s="40" t="s">
        <v>53</v>
      </c>
      <c r="C33" s="35" t="s">
        <v>100</v>
      </c>
      <c r="D33" s="35"/>
      <c r="E33" s="35"/>
      <c r="F33" s="35"/>
      <c r="G33" s="35"/>
      <c r="H33" s="35"/>
      <c r="I33" s="54" t="n">
        <v>0.2</v>
      </c>
      <c r="J33" s="48" t="n">
        <f aca="false">TRUNC(($J$24+$J$30)*$I$33,2)</f>
        <v>365.14</v>
      </c>
    </row>
    <row r="34" customFormat="false" ht="13.8" hidden="false" customHeight="false" outlineLevel="0" collapsed="false">
      <c r="B34" s="40" t="s">
        <v>55</v>
      </c>
      <c r="C34" s="35" t="s">
        <v>101</v>
      </c>
      <c r="D34" s="35"/>
      <c r="E34" s="35"/>
      <c r="F34" s="35"/>
      <c r="G34" s="35"/>
      <c r="H34" s="35"/>
      <c r="I34" s="54" t="n">
        <v>0.025</v>
      </c>
      <c r="J34" s="48" t="n">
        <f aca="false">TRUNC(($J$24+$J$30)*$I$34,2)</f>
        <v>45.64</v>
      </c>
      <c r="K34" s="0" t="s">
        <v>102</v>
      </c>
    </row>
    <row r="35" customFormat="false" ht="13.8" hidden="false" customHeight="false" outlineLevel="0" collapsed="false">
      <c r="B35" s="40" t="s">
        <v>58</v>
      </c>
      <c r="C35" s="35" t="s">
        <v>103</v>
      </c>
      <c r="D35" s="35"/>
      <c r="E35" s="35"/>
      <c r="F35" s="35"/>
      <c r="G35" s="35"/>
      <c r="H35" s="35"/>
      <c r="I35" s="54" t="n">
        <v>0.03</v>
      </c>
      <c r="J35" s="48" t="n">
        <f aca="false">TRUNC(($J$24+$J$30)*$I$35,2)</f>
        <v>54.77</v>
      </c>
    </row>
    <row r="36" customFormat="false" ht="13.8" hidden="false" customHeight="false" outlineLevel="0" collapsed="false">
      <c r="B36" s="40" t="s">
        <v>61</v>
      </c>
      <c r="C36" s="35" t="s">
        <v>104</v>
      </c>
      <c r="D36" s="35"/>
      <c r="E36" s="35"/>
      <c r="F36" s="35"/>
      <c r="G36" s="35"/>
      <c r="H36" s="35"/>
      <c r="I36" s="54" t="n">
        <v>0.015</v>
      </c>
      <c r="J36" s="48" t="n">
        <f aca="false">TRUNC(($J$24+$J$30)*$I$36,2)</f>
        <v>27.38</v>
      </c>
    </row>
    <row r="37" customFormat="false" ht="13.8" hidden="false" customHeight="false" outlineLevel="0" collapsed="false">
      <c r="B37" s="40" t="s">
        <v>87</v>
      </c>
      <c r="C37" s="35" t="s">
        <v>105</v>
      </c>
      <c r="D37" s="35"/>
      <c r="E37" s="35"/>
      <c r="F37" s="35"/>
      <c r="G37" s="35"/>
      <c r="H37" s="35"/>
      <c r="I37" s="54" t="n">
        <v>0.01</v>
      </c>
      <c r="J37" s="48" t="n">
        <f aca="false">TRUNC(($J$24+$J$30)*$I$37,2)</f>
        <v>18.25</v>
      </c>
    </row>
    <row r="38" customFormat="false" ht="13.8" hidden="false" customHeight="false" outlineLevel="0" collapsed="false">
      <c r="B38" s="40" t="s">
        <v>89</v>
      </c>
      <c r="C38" s="35" t="s">
        <v>106</v>
      </c>
      <c r="D38" s="35"/>
      <c r="E38" s="35"/>
      <c r="F38" s="35"/>
      <c r="G38" s="35"/>
      <c r="H38" s="35"/>
      <c r="I38" s="54" t="n">
        <v>0.006</v>
      </c>
      <c r="J38" s="48" t="n">
        <f aca="false">TRUNC(($J$24+$J$30)*$I$38,2)</f>
        <v>10.95</v>
      </c>
    </row>
    <row r="39" customFormat="false" ht="13.8" hidden="false" customHeight="false" outlineLevel="0" collapsed="false">
      <c r="B39" s="40" t="s">
        <v>107</v>
      </c>
      <c r="C39" s="35" t="s">
        <v>108</v>
      </c>
      <c r="D39" s="35"/>
      <c r="E39" s="35"/>
      <c r="F39" s="35"/>
      <c r="G39" s="35"/>
      <c r="H39" s="35"/>
      <c r="I39" s="54" t="n">
        <v>0.002</v>
      </c>
      <c r="J39" s="48" t="n">
        <f aca="false">TRUNC(($J$24+$J$30)*$I$39,2)</f>
        <v>3.65</v>
      </c>
    </row>
    <row r="40" customFormat="false" ht="13.8" hidden="false" customHeight="false" outlineLevel="0" collapsed="false">
      <c r="B40" s="40" t="s">
        <v>109</v>
      </c>
      <c r="C40" s="35" t="s">
        <v>110</v>
      </c>
      <c r="D40" s="35"/>
      <c r="E40" s="35"/>
      <c r="F40" s="35"/>
      <c r="G40" s="35"/>
      <c r="H40" s="35"/>
      <c r="I40" s="54" t="n">
        <v>0.08</v>
      </c>
      <c r="J40" s="48" t="n">
        <f aca="false">TRUNC(($J$24+$J$30)*$I$40,2)</f>
        <v>146.05</v>
      </c>
    </row>
    <row r="41" customFormat="false" ht="15" hidden="false" customHeight="false" outlineLevel="0" collapsed="false">
      <c r="B41" s="40" t="s">
        <v>111</v>
      </c>
      <c r="C41" s="40"/>
      <c r="D41" s="40"/>
      <c r="E41" s="40"/>
      <c r="F41" s="40"/>
      <c r="G41" s="40"/>
      <c r="H41" s="40"/>
      <c r="I41" s="56" t="n">
        <f aca="false">SUM(I33:I40)</f>
        <v>0.368</v>
      </c>
      <c r="J41" s="57" t="n">
        <f aca="false">SUM(J33:J40)</f>
        <v>671.83</v>
      </c>
    </row>
    <row r="42" customFormat="false" ht="15" hidden="false" customHeight="false" outlineLevel="0" collapsed="false">
      <c r="B42" s="59"/>
      <c r="C42" s="59"/>
      <c r="D42" s="59"/>
      <c r="E42" s="59"/>
      <c r="F42" s="59"/>
      <c r="G42" s="59"/>
      <c r="H42" s="59"/>
      <c r="I42" s="59"/>
      <c r="J42" s="59"/>
    </row>
    <row r="43" customFormat="false" ht="15" hidden="false" customHeight="false" outlineLevel="0" collapsed="false">
      <c r="B43" s="53" t="s">
        <v>112</v>
      </c>
      <c r="C43" s="53"/>
      <c r="D43" s="53"/>
      <c r="E43" s="53"/>
      <c r="F43" s="53"/>
      <c r="G43" s="53"/>
      <c r="H43" s="53"/>
      <c r="I43" s="60"/>
      <c r="J43" s="53" t="s">
        <v>82</v>
      </c>
    </row>
    <row r="44" customFormat="false" ht="15" hidden="false" customHeight="false" outlineLevel="0" collapsed="false">
      <c r="B44" s="40" t="s">
        <v>53</v>
      </c>
      <c r="C44" s="45" t="s">
        <v>113</v>
      </c>
      <c r="D44" s="45"/>
      <c r="E44" s="45"/>
      <c r="F44" s="45"/>
      <c r="G44" s="45"/>
      <c r="H44" s="45"/>
      <c r="I44" s="34" t="s">
        <v>114</v>
      </c>
      <c r="J44" s="61" t="n">
        <v>0</v>
      </c>
    </row>
    <row r="45" customFormat="false" ht="13.8" hidden="false" customHeight="false" outlineLevel="0" collapsed="false">
      <c r="B45" s="40" t="s">
        <v>55</v>
      </c>
      <c r="C45" s="62" t="s">
        <v>115</v>
      </c>
      <c r="D45" s="62"/>
      <c r="E45" s="62"/>
      <c r="F45" s="62"/>
      <c r="G45" s="62"/>
      <c r="H45" s="62"/>
      <c r="I45" s="34" t="s">
        <v>114</v>
      </c>
      <c r="J45" s="61" t="n">
        <v>495</v>
      </c>
    </row>
    <row r="46" customFormat="false" ht="13.8" hidden="false" customHeight="false" outlineLevel="0" collapsed="false">
      <c r="B46" s="40" t="s">
        <v>58</v>
      </c>
      <c r="C46" s="63" t="s">
        <v>116</v>
      </c>
      <c r="D46" s="63"/>
      <c r="E46" s="63"/>
      <c r="F46" s="63"/>
      <c r="G46" s="63"/>
      <c r="H46" s="63"/>
      <c r="I46" s="34" t="s">
        <v>114</v>
      </c>
      <c r="J46" s="61" t="n">
        <v>19</v>
      </c>
    </row>
    <row r="47" customFormat="false" ht="15" hidden="false" customHeight="false" outlineLevel="0" collapsed="false">
      <c r="B47" s="40" t="s">
        <v>61</v>
      </c>
      <c r="C47" s="45" t="s">
        <v>117</v>
      </c>
      <c r="D47" s="45"/>
      <c r="E47" s="45"/>
      <c r="F47" s="45"/>
      <c r="G47" s="45"/>
      <c r="H47" s="45"/>
      <c r="I47" s="34" t="s">
        <v>114</v>
      </c>
      <c r="J47" s="61" t="n">
        <v>0</v>
      </c>
    </row>
    <row r="48" customFormat="false" ht="15" hidden="false" customHeight="false" outlineLevel="0" collapsed="false">
      <c r="B48" s="40" t="s">
        <v>87</v>
      </c>
      <c r="C48" s="35" t="s">
        <v>118</v>
      </c>
      <c r="D48" s="35"/>
      <c r="E48" s="35"/>
      <c r="F48" s="35"/>
      <c r="G48" s="35"/>
      <c r="H48" s="35"/>
      <c r="I48" s="34" t="s">
        <v>114</v>
      </c>
      <c r="J48" s="61" t="n">
        <v>0</v>
      </c>
    </row>
    <row r="49" customFormat="false" ht="15" hidden="false" customHeight="false" outlineLevel="0" collapsed="false">
      <c r="B49" s="40" t="s">
        <v>89</v>
      </c>
      <c r="C49" s="45" t="s">
        <v>119</v>
      </c>
      <c r="D49" s="45"/>
      <c r="E49" s="45"/>
      <c r="F49" s="45"/>
      <c r="G49" s="45"/>
      <c r="H49" s="45"/>
      <c r="I49" s="34" t="s">
        <v>114</v>
      </c>
      <c r="J49" s="61" t="n">
        <v>0</v>
      </c>
    </row>
    <row r="50" customFormat="false" ht="15" hidden="false" customHeight="false" outlineLevel="0" collapsed="false">
      <c r="B50" s="40" t="s">
        <v>120</v>
      </c>
      <c r="C50" s="40"/>
      <c r="D50" s="40"/>
      <c r="E50" s="40"/>
      <c r="F50" s="40"/>
      <c r="G50" s="40"/>
      <c r="H50" s="40"/>
      <c r="I50" s="40"/>
      <c r="J50" s="57" t="n">
        <f aca="false">SUM(J44:J49)</f>
        <v>514</v>
      </c>
    </row>
    <row r="51" customFormat="false" ht="15" hidden="false" customHeight="false" outlineLevel="0" collapsed="false">
      <c r="B51" s="59"/>
      <c r="C51" s="59"/>
      <c r="D51" s="59"/>
      <c r="E51" s="59"/>
      <c r="F51" s="59"/>
      <c r="G51" s="59"/>
      <c r="H51" s="59"/>
      <c r="I51" s="59"/>
      <c r="J51" s="59"/>
    </row>
    <row r="52" customFormat="false" ht="15" hidden="false" customHeight="false" outlineLevel="0" collapsed="false">
      <c r="B52" s="33" t="s">
        <v>121</v>
      </c>
      <c r="C52" s="33"/>
      <c r="D52" s="33"/>
      <c r="E52" s="33"/>
      <c r="F52" s="33"/>
      <c r="G52" s="33"/>
      <c r="H52" s="33"/>
      <c r="I52" s="33"/>
      <c r="J52" s="33"/>
    </row>
    <row r="53" customFormat="false" ht="15" hidden="false" customHeight="false" outlineLevel="0" collapsed="false">
      <c r="B53" s="40" t="s">
        <v>122</v>
      </c>
      <c r="C53" s="40"/>
      <c r="D53" s="40"/>
      <c r="E53" s="40"/>
      <c r="F53" s="40"/>
      <c r="G53" s="40"/>
      <c r="H53" s="40"/>
      <c r="I53" s="40"/>
      <c r="J53" s="40" t="s">
        <v>82</v>
      </c>
    </row>
    <row r="54" customFormat="false" ht="15" hidden="false" customHeight="false" outlineLevel="0" collapsed="false">
      <c r="B54" s="40" t="s">
        <v>123</v>
      </c>
      <c r="C54" s="35" t="s">
        <v>124</v>
      </c>
      <c r="D54" s="35"/>
      <c r="E54" s="35"/>
      <c r="F54" s="35"/>
      <c r="G54" s="35"/>
      <c r="H54" s="35"/>
      <c r="I54" s="35"/>
      <c r="J54" s="48" t="n">
        <f aca="false">J30</f>
        <v>309.71</v>
      </c>
    </row>
    <row r="55" customFormat="false" ht="15" hidden="false" customHeight="false" outlineLevel="0" collapsed="false">
      <c r="B55" s="40" t="s">
        <v>125</v>
      </c>
      <c r="C55" s="35" t="s">
        <v>126</v>
      </c>
      <c r="D55" s="35"/>
      <c r="E55" s="35"/>
      <c r="F55" s="35"/>
      <c r="G55" s="35"/>
      <c r="H55" s="35"/>
      <c r="I55" s="35"/>
      <c r="J55" s="48" t="n">
        <f aca="false">J41</f>
        <v>671.83</v>
      </c>
    </row>
    <row r="56" customFormat="false" ht="15" hidden="false" customHeight="false" outlineLevel="0" collapsed="false">
      <c r="B56" s="40" t="s">
        <v>127</v>
      </c>
      <c r="C56" s="35" t="s">
        <v>128</v>
      </c>
      <c r="D56" s="35"/>
      <c r="E56" s="35"/>
      <c r="F56" s="35"/>
      <c r="G56" s="35"/>
      <c r="H56" s="35"/>
      <c r="I56" s="35"/>
      <c r="J56" s="48" t="n">
        <f aca="false">J50</f>
        <v>514</v>
      </c>
    </row>
    <row r="57" customFormat="false" ht="15" hidden="false" customHeight="false" outlineLevel="0" collapsed="false">
      <c r="B57" s="40" t="s">
        <v>129</v>
      </c>
      <c r="C57" s="40"/>
      <c r="D57" s="40"/>
      <c r="E57" s="40"/>
      <c r="F57" s="40"/>
      <c r="G57" s="40"/>
      <c r="H57" s="40"/>
      <c r="I57" s="40"/>
      <c r="J57" s="57" t="n">
        <f aca="false">SUM(J54:J56)</f>
        <v>1495.54</v>
      </c>
    </row>
    <row r="58" customFormat="false" ht="15" hidden="false" customHeight="false" outlineLevel="0" collapsed="false">
      <c r="B58" s="64"/>
      <c r="C58" s="64"/>
      <c r="D58" s="64"/>
      <c r="E58" s="64"/>
      <c r="F58" s="64"/>
      <c r="G58" s="64"/>
      <c r="H58" s="64"/>
      <c r="I58" s="64"/>
      <c r="J58" s="64"/>
    </row>
    <row r="59" customFormat="false" ht="15" hidden="false" customHeight="false" outlineLevel="0" collapsed="false">
      <c r="B59" s="44" t="s">
        <v>130</v>
      </c>
      <c r="C59" s="44"/>
      <c r="D59" s="44"/>
      <c r="E59" s="44"/>
      <c r="F59" s="44"/>
      <c r="G59" s="44"/>
      <c r="H59" s="44"/>
      <c r="I59" s="44"/>
      <c r="J59" s="44"/>
    </row>
    <row r="60" customFormat="false" ht="15" hidden="false" customHeight="false" outlineLevel="0" collapsed="false">
      <c r="B60" s="40" t="n">
        <v>3</v>
      </c>
      <c r="C60" s="40" t="s">
        <v>131</v>
      </c>
      <c r="D60" s="40"/>
      <c r="E60" s="40"/>
      <c r="F60" s="40"/>
      <c r="G60" s="40"/>
      <c r="H60" s="40"/>
      <c r="I60" s="40" t="s">
        <v>81</v>
      </c>
      <c r="J60" s="40" t="s">
        <v>82</v>
      </c>
    </row>
    <row r="61" customFormat="false" ht="13.8" hidden="false" customHeight="false" outlineLevel="0" collapsed="false">
      <c r="B61" s="40" t="s">
        <v>53</v>
      </c>
      <c r="C61" s="35" t="s">
        <v>132</v>
      </c>
      <c r="D61" s="35"/>
      <c r="E61" s="35"/>
      <c r="F61" s="35"/>
      <c r="G61" s="35"/>
      <c r="H61" s="35"/>
      <c r="I61" s="54" t="n">
        <f aca="false">(1/12)*0.05</f>
        <v>0.0042</v>
      </c>
      <c r="J61" s="48" t="n">
        <f aca="false">TRUNC(I61*$J$24,2)</f>
        <v>6.36</v>
      </c>
      <c r="K61" s="65"/>
    </row>
    <row r="62" customFormat="false" ht="15" hidden="false" customHeight="false" outlineLevel="0" collapsed="false">
      <c r="B62" s="40" t="s">
        <v>55</v>
      </c>
      <c r="C62" s="35" t="s">
        <v>133</v>
      </c>
      <c r="D62" s="35"/>
      <c r="E62" s="35"/>
      <c r="F62" s="35"/>
      <c r="G62" s="35"/>
      <c r="H62" s="35"/>
      <c r="I62" s="54" t="n">
        <f aca="false">I40*I61</f>
        <v>0.0003</v>
      </c>
      <c r="J62" s="48" t="n">
        <f aca="false">J24*I62</f>
        <v>0.4548</v>
      </c>
    </row>
    <row r="63" customFormat="false" ht="15" hidden="false" customHeight="false" outlineLevel="0" collapsed="false">
      <c r="B63" s="40" t="s">
        <v>58</v>
      </c>
      <c r="C63" s="35" t="s">
        <v>134</v>
      </c>
      <c r="D63" s="35"/>
      <c r="E63" s="35"/>
      <c r="F63" s="35"/>
      <c r="G63" s="35"/>
      <c r="H63" s="35"/>
      <c r="I63" s="54" t="n">
        <f aca="false">((7/30)/12)</f>
        <v>0.0194</v>
      </c>
      <c r="J63" s="48" t="n">
        <f aca="false">TRUNC(I63*$J$24,2)</f>
        <v>29.41</v>
      </c>
    </row>
    <row r="64" customFormat="false" ht="15" hidden="false" customHeight="false" outlineLevel="0" collapsed="false">
      <c r="B64" s="40" t="s">
        <v>61</v>
      </c>
      <c r="C64" s="35" t="s">
        <v>135</v>
      </c>
      <c r="D64" s="35"/>
      <c r="E64" s="35"/>
      <c r="F64" s="35"/>
      <c r="G64" s="35"/>
      <c r="H64" s="35"/>
      <c r="I64" s="55" t="n">
        <v>0.0072</v>
      </c>
      <c r="J64" s="48" t="n">
        <f aca="false">TRUNC(I64*$J$24,2)</f>
        <v>10.91</v>
      </c>
      <c r="K64" s="0" t="s">
        <v>136</v>
      </c>
    </row>
    <row r="65" customFormat="false" ht="23.25" hidden="false" customHeight="true" outlineLevel="0" collapsed="false">
      <c r="B65" s="40" t="s">
        <v>87</v>
      </c>
      <c r="C65" s="66" t="s">
        <v>137</v>
      </c>
      <c r="D65" s="66"/>
      <c r="E65" s="66"/>
      <c r="F65" s="66"/>
      <c r="G65" s="66"/>
      <c r="H65" s="66"/>
      <c r="I65" s="54" t="n">
        <v>0.04</v>
      </c>
      <c r="J65" s="48" t="n">
        <f aca="false">SUM(J24,J30)*I65</f>
        <v>73.0284</v>
      </c>
      <c r="K65" s="0" t="s">
        <v>138</v>
      </c>
    </row>
    <row r="66" customFormat="false" ht="15" hidden="false" customHeight="false" outlineLevel="0" collapsed="false">
      <c r="B66" s="40" t="s">
        <v>139</v>
      </c>
      <c r="C66" s="40"/>
      <c r="D66" s="40"/>
      <c r="E66" s="40"/>
      <c r="F66" s="40"/>
      <c r="G66" s="40"/>
      <c r="H66" s="40"/>
      <c r="I66" s="56" t="n">
        <f aca="false">SUM(I61:I65)</f>
        <v>0.0711</v>
      </c>
      <c r="J66" s="57" t="n">
        <f aca="false">SUM(J61:J65)</f>
        <v>120.1632</v>
      </c>
    </row>
    <row r="67" customFormat="false" ht="15" hidden="false" customHeight="false" outlineLevel="0" collapsed="false">
      <c r="B67" s="67"/>
      <c r="C67" s="67"/>
      <c r="D67" s="67"/>
      <c r="E67" s="67"/>
      <c r="F67" s="67"/>
      <c r="G67" s="67"/>
      <c r="H67" s="67"/>
      <c r="I67" s="67"/>
      <c r="J67" s="67"/>
    </row>
    <row r="68" customFormat="false" ht="15" hidden="false" customHeight="false" outlineLevel="0" collapsed="false">
      <c r="B68" s="44" t="s">
        <v>140</v>
      </c>
      <c r="C68" s="44"/>
      <c r="D68" s="44"/>
      <c r="E68" s="44"/>
      <c r="F68" s="44"/>
      <c r="G68" s="44"/>
      <c r="H68" s="44"/>
      <c r="I68" s="44"/>
      <c r="J68" s="44"/>
    </row>
    <row r="69" customFormat="false" ht="15" hidden="false" customHeight="false" outlineLevel="0" collapsed="false">
      <c r="B69" s="40" t="s">
        <v>141</v>
      </c>
      <c r="C69" s="40"/>
      <c r="D69" s="40"/>
      <c r="E69" s="40"/>
      <c r="F69" s="40"/>
      <c r="G69" s="40"/>
      <c r="H69" s="40"/>
      <c r="I69" s="40" t="s">
        <v>81</v>
      </c>
      <c r="J69" s="40" t="s">
        <v>82</v>
      </c>
    </row>
    <row r="70" customFormat="false" ht="15" hidden="false" customHeight="false" outlineLevel="0" collapsed="false">
      <c r="B70" s="40" t="s">
        <v>53</v>
      </c>
      <c r="C70" s="35" t="s">
        <v>142</v>
      </c>
      <c r="D70" s="35"/>
      <c r="E70" s="35"/>
      <c r="F70" s="35"/>
      <c r="G70" s="35"/>
      <c r="H70" s="35"/>
      <c r="I70" s="54" t="n">
        <f aca="false">(1/12/12)+(1/12/12)+(1/12/12/3)</f>
        <v>0.0162</v>
      </c>
      <c r="J70" s="48" t="n">
        <f aca="false">TRUNC(($J$24)*I70,2)</f>
        <v>24.55</v>
      </c>
      <c r="K70" s="68" t="s">
        <v>96</v>
      </c>
      <c r="L70" s="68" t="s">
        <v>97</v>
      </c>
      <c r="M70" s="68"/>
      <c r="N70" s="68"/>
      <c r="O70" s="68"/>
      <c r="P70" s="0" t="n">
        <f aca="false">0.23</f>
        <v>0.23</v>
      </c>
    </row>
    <row r="71" customFormat="false" ht="15" hidden="false" customHeight="false" outlineLevel="0" collapsed="false">
      <c r="B71" s="40" t="s">
        <v>55</v>
      </c>
      <c r="C71" s="35" t="s">
        <v>143</v>
      </c>
      <c r="D71" s="35"/>
      <c r="E71" s="35"/>
      <c r="F71" s="35"/>
      <c r="G71" s="35"/>
      <c r="H71" s="35"/>
      <c r="I71" s="54" t="n">
        <f aca="false">((1/30))/12</f>
        <v>0.0028</v>
      </c>
      <c r="J71" s="48" t="n">
        <f aca="false">TRUNC(($J$24)*I71,2)</f>
        <v>4.24</v>
      </c>
      <c r="K71" s="0" t="s">
        <v>144</v>
      </c>
    </row>
    <row r="72" customFormat="false" ht="15" hidden="false" customHeight="false" outlineLevel="0" collapsed="false">
      <c r="B72" s="40" t="s">
        <v>58</v>
      </c>
      <c r="C72" s="35" t="s">
        <v>145</v>
      </c>
      <c r="D72" s="35"/>
      <c r="E72" s="35"/>
      <c r="F72" s="35"/>
      <c r="G72" s="35"/>
      <c r="H72" s="35"/>
      <c r="I72" s="54" t="n">
        <f aca="false">((5/30)/12)*1.5%</f>
        <v>0.0002</v>
      </c>
      <c r="J72" s="48" t="n">
        <f aca="false">TRUNC(($J$24)*I72,2)</f>
        <v>0.3</v>
      </c>
    </row>
    <row r="73" customFormat="false" ht="15" hidden="false" customHeight="false" outlineLevel="0" collapsed="false">
      <c r="B73" s="40" t="s">
        <v>61</v>
      </c>
      <c r="C73" s="35" t="s">
        <v>146</v>
      </c>
      <c r="D73" s="35"/>
      <c r="E73" s="35"/>
      <c r="F73" s="35"/>
      <c r="G73" s="35"/>
      <c r="H73" s="35"/>
      <c r="I73" s="54" t="n">
        <f aca="false">((15/30)/12)*8%</f>
        <v>0.0033</v>
      </c>
      <c r="J73" s="48" t="n">
        <f aca="false">TRUNC(($J$24)*I73,2)</f>
        <v>5</v>
      </c>
    </row>
    <row r="74" customFormat="false" ht="15" hidden="false" customHeight="false" outlineLevel="0" collapsed="false">
      <c r="B74" s="40" t="s">
        <v>87</v>
      </c>
      <c r="C74" s="35" t="s">
        <v>147</v>
      </c>
      <c r="D74" s="35"/>
      <c r="E74" s="35"/>
      <c r="F74" s="35"/>
      <c r="G74" s="35"/>
      <c r="H74" s="35"/>
      <c r="I74" s="55" t="n">
        <f aca="false">(((4*8.33%)+(4*2.78%))/12)*2%</f>
        <v>0.0007</v>
      </c>
      <c r="J74" s="48" t="n">
        <f aca="false">TRUNC(($J$24)*I74,2)</f>
        <v>1.06</v>
      </c>
    </row>
    <row r="75" customFormat="false" ht="15" hidden="false" customHeight="false" outlineLevel="0" collapsed="false">
      <c r="B75" s="40" t="s">
        <v>89</v>
      </c>
      <c r="C75" s="35" t="s">
        <v>148</v>
      </c>
      <c r="D75" s="35"/>
      <c r="E75" s="35"/>
      <c r="F75" s="35"/>
      <c r="G75" s="35"/>
      <c r="H75" s="35"/>
      <c r="I75" s="54" t="n">
        <v>0</v>
      </c>
      <c r="J75" s="48" t="n">
        <f aca="false">TRUNC(($J$24)*I75,2)</f>
        <v>0</v>
      </c>
    </row>
    <row r="76" customFormat="false" ht="15" hidden="false" customHeight="false" outlineLevel="0" collapsed="false">
      <c r="B76" s="40" t="s">
        <v>149</v>
      </c>
      <c r="C76" s="40"/>
      <c r="D76" s="40"/>
      <c r="E76" s="40"/>
      <c r="F76" s="40"/>
      <c r="G76" s="40"/>
      <c r="H76" s="40"/>
      <c r="I76" s="56" t="n">
        <f aca="false">SUM(I70:I75)</f>
        <v>0.0232</v>
      </c>
      <c r="J76" s="57" t="n">
        <f aca="false">SUM(J70:J75)</f>
        <v>35.15</v>
      </c>
    </row>
    <row r="77" customFormat="false" ht="15" hidden="false" customHeight="false" outlineLevel="0" collapsed="false">
      <c r="B77" s="69"/>
      <c r="C77" s="69"/>
      <c r="D77" s="69"/>
      <c r="E77" s="69"/>
      <c r="F77" s="69"/>
      <c r="G77" s="69"/>
      <c r="H77" s="69"/>
      <c r="I77" s="69"/>
      <c r="J77" s="69"/>
    </row>
    <row r="78" customFormat="false" ht="15" hidden="false" customHeight="false" outlineLevel="0" collapsed="false">
      <c r="B78" s="40" t="s">
        <v>150</v>
      </c>
      <c r="C78" s="40"/>
      <c r="D78" s="40"/>
      <c r="E78" s="40"/>
      <c r="F78" s="40"/>
      <c r="G78" s="40"/>
      <c r="H78" s="40"/>
      <c r="I78" s="40" t="s">
        <v>81</v>
      </c>
      <c r="J78" s="40" t="s">
        <v>82</v>
      </c>
    </row>
    <row r="79" customFormat="false" ht="15" hidden="false" customHeight="true" outlineLevel="0" collapsed="false">
      <c r="B79" s="40" t="s">
        <v>53</v>
      </c>
      <c r="C79" s="66" t="s">
        <v>151</v>
      </c>
      <c r="D79" s="66"/>
      <c r="E79" s="66"/>
      <c r="F79" s="66"/>
      <c r="G79" s="66"/>
      <c r="H79" s="66"/>
      <c r="I79" s="54" t="n">
        <v>0</v>
      </c>
      <c r="J79" s="48" t="n">
        <v>0</v>
      </c>
    </row>
    <row r="80" customFormat="false" ht="15" hidden="false" customHeight="false" outlineLevel="0" collapsed="false">
      <c r="B80" s="40" t="s">
        <v>152</v>
      </c>
      <c r="C80" s="40"/>
      <c r="D80" s="40"/>
      <c r="E80" s="40"/>
      <c r="F80" s="40"/>
      <c r="G80" s="40"/>
      <c r="H80" s="40"/>
      <c r="I80" s="56" t="n">
        <v>0</v>
      </c>
      <c r="J80" s="57" t="n">
        <v>0</v>
      </c>
    </row>
    <row r="81" customFormat="false" ht="15" hidden="false" customHeight="false" outlineLevel="0" collapsed="false">
      <c r="B81" s="70"/>
      <c r="C81" s="70"/>
      <c r="D81" s="70"/>
      <c r="E81" s="70"/>
      <c r="F81" s="70"/>
      <c r="G81" s="70"/>
      <c r="H81" s="70"/>
      <c r="I81" s="70"/>
      <c r="J81" s="70"/>
    </row>
    <row r="82" customFormat="false" ht="15" hidden="false" customHeight="false" outlineLevel="0" collapsed="false">
      <c r="B82" s="33" t="s">
        <v>153</v>
      </c>
      <c r="C82" s="33"/>
      <c r="D82" s="33"/>
      <c r="E82" s="33"/>
      <c r="F82" s="33"/>
      <c r="G82" s="33"/>
      <c r="H82" s="33"/>
      <c r="I82" s="33"/>
      <c r="J82" s="33"/>
    </row>
    <row r="83" customFormat="false" ht="15" hidden="false" customHeight="false" outlineLevel="0" collapsed="false">
      <c r="B83" s="40" t="s">
        <v>154</v>
      </c>
      <c r="C83" s="40"/>
      <c r="D83" s="40"/>
      <c r="E83" s="40"/>
      <c r="F83" s="40"/>
      <c r="G83" s="40"/>
      <c r="H83" s="40"/>
      <c r="I83" s="40"/>
      <c r="J83" s="40" t="s">
        <v>82</v>
      </c>
    </row>
    <row r="84" customFormat="false" ht="15" hidden="false" customHeight="false" outlineLevel="0" collapsed="false">
      <c r="B84" s="40" t="s">
        <v>155</v>
      </c>
      <c r="C84" s="35" t="s">
        <v>156</v>
      </c>
      <c r="D84" s="35"/>
      <c r="E84" s="35"/>
      <c r="F84" s="35"/>
      <c r="G84" s="35"/>
      <c r="H84" s="35"/>
      <c r="I84" s="35"/>
      <c r="J84" s="48" t="n">
        <f aca="false">J76</f>
        <v>35.15</v>
      </c>
    </row>
    <row r="85" customFormat="false" ht="15" hidden="false" customHeight="false" outlineLevel="0" collapsed="false">
      <c r="B85" s="40" t="s">
        <v>157</v>
      </c>
      <c r="C85" s="35" t="s">
        <v>158</v>
      </c>
      <c r="D85" s="35"/>
      <c r="E85" s="35"/>
      <c r="F85" s="35"/>
      <c r="G85" s="35"/>
      <c r="H85" s="35"/>
      <c r="I85" s="35"/>
      <c r="J85" s="48" t="n">
        <f aca="false">J80</f>
        <v>0</v>
      </c>
    </row>
    <row r="86" customFormat="false" ht="15" hidden="false" customHeight="false" outlineLevel="0" collapsed="false">
      <c r="B86" s="40" t="s">
        <v>159</v>
      </c>
      <c r="C86" s="40"/>
      <c r="D86" s="40"/>
      <c r="E86" s="40"/>
      <c r="F86" s="40"/>
      <c r="G86" s="40"/>
      <c r="H86" s="40"/>
      <c r="I86" s="40"/>
      <c r="J86" s="57" t="n">
        <f aca="false">SUM(J84:J85)</f>
        <v>35.15</v>
      </c>
    </row>
    <row r="87" customFormat="false" ht="15" hidden="false" customHeight="false" outlineLevel="0" collapsed="false">
      <c r="B87" s="64"/>
      <c r="C87" s="64"/>
      <c r="D87" s="64"/>
      <c r="E87" s="64"/>
      <c r="F87" s="64"/>
      <c r="G87" s="64"/>
      <c r="H87" s="64"/>
      <c r="I87" s="64"/>
      <c r="J87" s="64"/>
    </row>
    <row r="88" customFormat="false" ht="15" hidden="false" customHeight="false" outlineLevel="0" collapsed="false">
      <c r="B88" s="44" t="s">
        <v>160</v>
      </c>
      <c r="C88" s="44"/>
      <c r="D88" s="44"/>
      <c r="E88" s="44"/>
      <c r="F88" s="44"/>
      <c r="G88" s="44"/>
      <c r="H88" s="44"/>
      <c r="I88" s="44"/>
      <c r="J88" s="44"/>
    </row>
    <row r="89" customFormat="false" ht="15" hidden="false" customHeight="false" outlineLevel="0" collapsed="false">
      <c r="B89" s="40" t="n">
        <v>5</v>
      </c>
      <c r="C89" s="40" t="s">
        <v>161</v>
      </c>
      <c r="D89" s="40"/>
      <c r="E89" s="40"/>
      <c r="F89" s="40"/>
      <c r="G89" s="40"/>
      <c r="H89" s="40"/>
      <c r="I89" s="40"/>
      <c r="J89" s="40" t="s">
        <v>82</v>
      </c>
    </row>
    <row r="90" customFormat="false" ht="15" hidden="false" customHeight="false" outlineLevel="0" collapsed="false">
      <c r="B90" s="40" t="s">
        <v>53</v>
      </c>
      <c r="C90" s="45" t="s">
        <v>162</v>
      </c>
      <c r="D90" s="45"/>
      <c r="E90" s="45"/>
      <c r="F90" s="45"/>
      <c r="G90" s="45"/>
      <c r="H90" s="45"/>
      <c r="I90" s="54" t="n">
        <v>0.0145</v>
      </c>
      <c r="J90" s="48" t="n">
        <f aca="false">($J$24+$J$57+$J$66+$J$86)*I90</f>
        <v>45.9193714</v>
      </c>
      <c r="K90" s="71" t="s">
        <v>163</v>
      </c>
      <c r="L90" s="71"/>
      <c r="M90" s="71"/>
      <c r="N90" s="71"/>
      <c r="O90" s="71"/>
      <c r="P90" s="71" t="s">
        <v>164</v>
      </c>
    </row>
    <row r="91" customFormat="false" ht="13.8" hidden="false" customHeight="false" outlineLevel="0" collapsed="false">
      <c r="B91" s="40" t="s">
        <v>55</v>
      </c>
      <c r="C91" s="45" t="s">
        <v>165</v>
      </c>
      <c r="D91" s="45"/>
      <c r="E91" s="45"/>
      <c r="F91" s="45"/>
      <c r="G91" s="45"/>
      <c r="H91" s="45"/>
      <c r="I91" s="54" t="n">
        <v>0.12</v>
      </c>
      <c r="J91" s="48" t="n">
        <f aca="false">(($J$24+$J$57+$J$66+$J$86+J90)*I91)*(1-9.25%)</f>
        <v>349.87093302546</v>
      </c>
      <c r="K91" s="72" t="s">
        <v>166</v>
      </c>
      <c r="L91" s="72"/>
      <c r="M91" s="72" t="s">
        <v>167</v>
      </c>
      <c r="N91" s="72"/>
      <c r="P91" s="71"/>
    </row>
    <row r="92" customFormat="false" ht="15" hidden="false" customHeight="false" outlineLevel="0" collapsed="false">
      <c r="B92" s="73" t="s">
        <v>58</v>
      </c>
      <c r="C92" s="45" t="s">
        <v>168</v>
      </c>
      <c r="D92" s="45"/>
      <c r="E92" s="45"/>
      <c r="F92" s="45"/>
      <c r="G92" s="45"/>
      <c r="H92" s="45"/>
      <c r="I92" s="34" t="s">
        <v>114</v>
      </c>
      <c r="J92" s="48" t="n">
        <v>0</v>
      </c>
    </row>
    <row r="93" customFormat="false" ht="15" hidden="false" customHeight="false" outlineLevel="0" collapsed="false">
      <c r="B93" s="73" t="s">
        <v>61</v>
      </c>
      <c r="C93" s="45" t="s">
        <v>119</v>
      </c>
      <c r="D93" s="45"/>
      <c r="E93" s="45"/>
      <c r="F93" s="45"/>
      <c r="G93" s="45"/>
      <c r="H93" s="45"/>
      <c r="I93" s="34" t="s">
        <v>114</v>
      </c>
      <c r="J93" s="48" t="n">
        <v>0</v>
      </c>
    </row>
    <row r="94" customFormat="false" ht="15" hidden="false" customHeight="false" outlineLevel="0" collapsed="false">
      <c r="B94" s="40" t="s">
        <v>169</v>
      </c>
      <c r="C94" s="40"/>
      <c r="D94" s="40"/>
      <c r="E94" s="40"/>
      <c r="F94" s="40"/>
      <c r="G94" s="40"/>
      <c r="H94" s="40"/>
      <c r="I94" s="56" t="s">
        <v>114</v>
      </c>
      <c r="J94" s="57" t="n">
        <f aca="false">SUM(J90:J93)</f>
        <v>395.79030442546</v>
      </c>
    </row>
    <row r="95" customFormat="false" ht="15" hidden="false" customHeight="false" outlineLevel="0" collapsed="false">
      <c r="B95" s="64"/>
      <c r="C95" s="64"/>
      <c r="D95" s="64"/>
      <c r="E95" s="64"/>
      <c r="F95" s="64"/>
      <c r="G95" s="64"/>
      <c r="H95" s="64"/>
      <c r="I95" s="64"/>
      <c r="J95" s="64"/>
    </row>
    <row r="96" customFormat="false" ht="13.8" hidden="false" customHeight="false" outlineLevel="0" collapsed="false">
      <c r="B96" s="44" t="s">
        <v>170</v>
      </c>
      <c r="C96" s="44"/>
      <c r="D96" s="44"/>
      <c r="E96" s="44"/>
      <c r="F96" s="44"/>
      <c r="G96" s="44"/>
      <c r="H96" s="44"/>
      <c r="I96" s="44"/>
      <c r="J96" s="44"/>
    </row>
    <row r="97" customFormat="false" ht="15" hidden="false" customHeight="false" outlineLevel="0" collapsed="false">
      <c r="B97" s="40" t="n">
        <v>6</v>
      </c>
      <c r="C97" s="40" t="s">
        <v>171</v>
      </c>
      <c r="D97" s="40"/>
      <c r="E97" s="40"/>
      <c r="F97" s="40"/>
      <c r="G97" s="40"/>
      <c r="H97" s="40"/>
      <c r="I97" s="40" t="s">
        <v>81</v>
      </c>
      <c r="J97" s="40" t="s">
        <v>82</v>
      </c>
    </row>
    <row r="98" customFormat="false" ht="15" hidden="false" customHeight="false" outlineLevel="0" collapsed="false">
      <c r="B98" s="40" t="s">
        <v>53</v>
      </c>
      <c r="C98" s="35" t="s">
        <v>172</v>
      </c>
      <c r="D98" s="35"/>
      <c r="E98" s="35"/>
      <c r="F98" s="35"/>
      <c r="G98" s="35"/>
      <c r="H98" s="35"/>
      <c r="I98" s="74" t="n">
        <v>0.03</v>
      </c>
      <c r="J98" s="48" t="n">
        <f aca="false">TRUNC(((J120)*I98),2)</f>
        <v>106.87</v>
      </c>
    </row>
    <row r="99" customFormat="false" ht="15" hidden="false" customHeight="false" outlineLevel="0" collapsed="false">
      <c r="B99" s="40" t="s">
        <v>55</v>
      </c>
      <c r="C99" s="35" t="s">
        <v>173</v>
      </c>
      <c r="D99" s="35"/>
      <c r="E99" s="35"/>
      <c r="F99" s="35"/>
      <c r="G99" s="35"/>
      <c r="H99" s="35"/>
      <c r="I99" s="74" t="n">
        <v>0.06</v>
      </c>
      <c r="J99" s="48" t="n">
        <f aca="false">TRUNC(((J120+J98)*I99),2)</f>
        <v>220.17</v>
      </c>
    </row>
    <row r="100" customFormat="false" ht="15" hidden="false" customHeight="false" outlineLevel="0" collapsed="false">
      <c r="B100" s="40" t="s">
        <v>58</v>
      </c>
      <c r="C100" s="63" t="s">
        <v>174</v>
      </c>
      <c r="D100" s="63"/>
      <c r="E100" s="63"/>
      <c r="F100" s="63"/>
      <c r="G100" s="63"/>
      <c r="H100" s="63"/>
      <c r="I100" s="47"/>
      <c r="J100" s="75"/>
    </row>
    <row r="101" customFormat="false" ht="13.8" hidden="false" customHeight="false" outlineLevel="0" collapsed="false">
      <c r="B101" s="40" t="s">
        <v>175</v>
      </c>
      <c r="C101" s="35" t="s">
        <v>176</v>
      </c>
      <c r="D101" s="35"/>
      <c r="E101" s="35"/>
      <c r="F101" s="35"/>
      <c r="G101" s="35"/>
      <c r="H101" s="35"/>
      <c r="I101" s="76" t="n">
        <v>0.0065</v>
      </c>
      <c r="J101" s="48" t="n">
        <f aca="false">TRUNC(I101*((J120+J98+J99)/(1-I105)),2)</f>
        <v>27.67</v>
      </c>
      <c r="K101" s="0" t="n">
        <f aca="false">J120+J98+J99</f>
        <v>3889.68350442546</v>
      </c>
      <c r="L101" s="77" t="n">
        <f aca="false">1-I105</f>
        <v>0.9135</v>
      </c>
      <c r="M101" s="0" t="n">
        <f aca="false">K101/L101</f>
        <v>4258.00055218989</v>
      </c>
    </row>
    <row r="102" customFormat="false" ht="13.8" hidden="false" customHeight="false" outlineLevel="0" collapsed="false">
      <c r="B102" s="40" t="s">
        <v>177</v>
      </c>
      <c r="C102" s="35" t="s">
        <v>178</v>
      </c>
      <c r="D102" s="35"/>
      <c r="E102" s="35"/>
      <c r="F102" s="35"/>
      <c r="G102" s="35"/>
      <c r="H102" s="35"/>
      <c r="I102" s="76" t="n">
        <v>0.03</v>
      </c>
      <c r="J102" s="48" t="n">
        <f aca="false">TRUNC(I102*(J120+J98+J99)/(1-I105),2)</f>
        <v>127.74</v>
      </c>
      <c r="L102" s="77"/>
    </row>
    <row r="103" customFormat="false" ht="13.8" hidden="false" customHeight="false" outlineLevel="0" collapsed="false">
      <c r="B103" s="40" t="s">
        <v>179</v>
      </c>
      <c r="C103" s="35" t="s">
        <v>180</v>
      </c>
      <c r="D103" s="35"/>
      <c r="E103" s="35"/>
      <c r="F103" s="35"/>
      <c r="G103" s="35"/>
      <c r="H103" s="35"/>
      <c r="I103" s="76" t="n">
        <v>0.05</v>
      </c>
      <c r="J103" s="48" t="n">
        <f aca="false">TRUNC(I103*(J120+J98+J99)/(1-I105),2)</f>
        <v>212.9</v>
      </c>
      <c r="K103" s="0" t="s">
        <v>181</v>
      </c>
      <c r="L103" s="77"/>
      <c r="N103" s="0" t="n">
        <f aca="false">M101*I101</f>
        <v>27.6770035892342</v>
      </c>
    </row>
    <row r="104" customFormat="false" ht="13.8" hidden="false" customHeight="false" outlineLevel="0" collapsed="false">
      <c r="B104" s="40" t="s">
        <v>182</v>
      </c>
      <c r="C104" s="40"/>
      <c r="D104" s="40"/>
      <c r="E104" s="40"/>
      <c r="F104" s="40"/>
      <c r="G104" s="40"/>
      <c r="H104" s="40"/>
      <c r="I104" s="76" t="n">
        <f aca="false">SUM(I98:I103)</f>
        <v>0.1765</v>
      </c>
      <c r="J104" s="57" t="n">
        <f aca="false">SUM(J98:J103)</f>
        <v>695.35</v>
      </c>
    </row>
    <row r="105" customFormat="false" ht="13.8" hidden="false" customHeight="false" outlineLevel="0" collapsed="false">
      <c r="B105" s="78" t="s">
        <v>183</v>
      </c>
      <c r="C105" s="79" t="s">
        <v>184</v>
      </c>
      <c r="D105" s="79"/>
      <c r="E105" s="79"/>
      <c r="F105" s="79"/>
      <c r="G105" s="79"/>
      <c r="H105" s="79"/>
      <c r="I105" s="80" t="n">
        <f aca="false">I101+I102+I103</f>
        <v>0.0865</v>
      </c>
      <c r="J105" s="81"/>
      <c r="L105" s="0" t="n">
        <f aca="false">M101*I102</f>
        <v>127.740016565697</v>
      </c>
    </row>
    <row r="106" customFormat="false" ht="15" hidden="false" customHeight="false" outlineLevel="0" collapsed="false">
      <c r="B106" s="82"/>
      <c r="C106" s="83" t="n">
        <v>100</v>
      </c>
      <c r="D106" s="83"/>
      <c r="E106" s="83"/>
      <c r="F106" s="83"/>
      <c r="G106" s="83"/>
      <c r="H106" s="83"/>
      <c r="I106" s="84"/>
      <c r="J106" s="85"/>
    </row>
    <row r="107" customFormat="false" ht="13.8" hidden="false" customHeight="false" outlineLevel="0" collapsed="false">
      <c r="B107" s="86"/>
      <c r="C107" s="83"/>
      <c r="D107" s="83"/>
      <c r="E107" s="83"/>
      <c r="F107" s="83"/>
      <c r="G107" s="83"/>
      <c r="H107" s="83"/>
      <c r="I107" s="84"/>
      <c r="J107" s="85"/>
      <c r="L107" s="0" t="n">
        <f aca="false">M101*I103</f>
        <v>212.900027609494</v>
      </c>
    </row>
    <row r="108" customFormat="false" ht="15" hidden="false" customHeight="false" outlineLevel="0" collapsed="false">
      <c r="B108" s="82" t="s">
        <v>185</v>
      </c>
      <c r="C108" s="83" t="s">
        <v>186</v>
      </c>
      <c r="D108" s="83"/>
      <c r="E108" s="83"/>
      <c r="F108" s="83"/>
      <c r="G108" s="83"/>
      <c r="H108" s="83"/>
      <c r="I108" s="84"/>
      <c r="J108" s="85" t="n">
        <f aca="false">J24+J57+J66+J86+J94+J98+J99</f>
        <v>3889.68350442546</v>
      </c>
    </row>
    <row r="109" customFormat="false" ht="15" hidden="false" customHeight="false" outlineLevel="0" collapsed="false">
      <c r="B109" s="82"/>
      <c r="C109" s="83"/>
      <c r="D109" s="83"/>
      <c r="E109" s="83"/>
      <c r="F109" s="83"/>
      <c r="G109" s="83"/>
      <c r="H109" s="83"/>
      <c r="I109" s="84"/>
      <c r="J109" s="85"/>
    </row>
    <row r="110" customFormat="false" ht="13.8" hidden="false" customHeight="false" outlineLevel="0" collapsed="false">
      <c r="B110" s="82" t="s">
        <v>187</v>
      </c>
      <c r="C110" s="83" t="s">
        <v>188</v>
      </c>
      <c r="D110" s="83"/>
      <c r="E110" s="83"/>
      <c r="F110" s="83"/>
      <c r="G110" s="83"/>
      <c r="H110" s="83"/>
      <c r="I110" s="84"/>
      <c r="J110" s="85" t="n">
        <f aca="false">TRUNC(J108/(1-I105),1)</f>
        <v>4258</v>
      </c>
    </row>
    <row r="111" customFormat="false" ht="15" hidden="false" customHeight="false" outlineLevel="0" collapsed="false">
      <c r="B111" s="82"/>
      <c r="C111" s="83"/>
      <c r="D111" s="83"/>
      <c r="E111" s="83"/>
      <c r="F111" s="83"/>
      <c r="G111" s="83"/>
      <c r="H111" s="83"/>
      <c r="I111" s="84"/>
      <c r="J111" s="85"/>
    </row>
    <row r="112" customFormat="false" ht="15" hidden="false" customHeight="false" outlineLevel="0" collapsed="false">
      <c r="B112" s="87"/>
      <c r="C112" s="88" t="s">
        <v>189</v>
      </c>
      <c r="D112" s="88"/>
      <c r="E112" s="88"/>
      <c r="F112" s="88"/>
      <c r="G112" s="88"/>
      <c r="H112" s="88"/>
      <c r="I112" s="89"/>
      <c r="J112" s="90" t="n">
        <f aca="false">J110-J108</f>
        <v>368.31649557454</v>
      </c>
    </row>
    <row r="113" customFormat="false" ht="15" hidden="false" customHeight="false" outlineLevel="0" collapsed="false">
      <c r="B113" s="33" t="s">
        <v>190</v>
      </c>
      <c r="C113" s="33"/>
      <c r="D113" s="33"/>
      <c r="E113" s="33"/>
      <c r="F113" s="33"/>
      <c r="G113" s="33"/>
      <c r="H113" s="33"/>
      <c r="I113" s="33"/>
      <c r="J113" s="33"/>
    </row>
    <row r="114" customFormat="false" ht="15" hidden="false" customHeight="false" outlineLevel="0" collapsed="false">
      <c r="B114" s="40" t="s">
        <v>191</v>
      </c>
      <c r="C114" s="40"/>
      <c r="D114" s="40"/>
      <c r="E114" s="40"/>
      <c r="F114" s="40"/>
      <c r="G114" s="40"/>
      <c r="H114" s="40"/>
      <c r="I114" s="40"/>
      <c r="J114" s="40" t="s">
        <v>82</v>
      </c>
    </row>
    <row r="115" customFormat="false" ht="15" hidden="false" customHeight="false" outlineLevel="0" collapsed="false">
      <c r="B115" s="34" t="s">
        <v>53</v>
      </c>
      <c r="C115" s="35" t="s">
        <v>79</v>
      </c>
      <c r="D115" s="35"/>
      <c r="E115" s="35"/>
      <c r="F115" s="35"/>
      <c r="G115" s="35"/>
      <c r="H115" s="35"/>
      <c r="I115" s="35"/>
      <c r="J115" s="48" t="n">
        <f aca="false">J24</f>
        <v>1516</v>
      </c>
      <c r="K115" s="0" t="s">
        <v>192</v>
      </c>
    </row>
    <row r="116" customFormat="false" ht="15" hidden="false" customHeight="false" outlineLevel="0" collapsed="false">
      <c r="B116" s="34" t="s">
        <v>55</v>
      </c>
      <c r="C116" s="35" t="s">
        <v>92</v>
      </c>
      <c r="D116" s="35"/>
      <c r="E116" s="35"/>
      <c r="F116" s="35"/>
      <c r="G116" s="35"/>
      <c r="H116" s="35"/>
      <c r="I116" s="35"/>
      <c r="J116" s="48" t="n">
        <f aca="false">J57</f>
        <v>1495.54</v>
      </c>
      <c r="K116" s="0" t="s">
        <v>193</v>
      </c>
    </row>
    <row r="117" customFormat="false" ht="15" hidden="false" customHeight="false" outlineLevel="0" collapsed="false">
      <c r="B117" s="34" t="s">
        <v>58</v>
      </c>
      <c r="C117" s="35" t="s">
        <v>130</v>
      </c>
      <c r="D117" s="35"/>
      <c r="E117" s="35"/>
      <c r="F117" s="35"/>
      <c r="G117" s="35"/>
      <c r="H117" s="35"/>
      <c r="I117" s="35"/>
      <c r="J117" s="48" t="n">
        <f aca="false">J66</f>
        <v>120.1632</v>
      </c>
      <c r="K117" s="0" t="s">
        <v>194</v>
      </c>
    </row>
    <row r="118" customFormat="false" ht="15" hidden="false" customHeight="false" outlineLevel="0" collapsed="false">
      <c r="B118" s="34" t="s">
        <v>61</v>
      </c>
      <c r="C118" s="35" t="s">
        <v>140</v>
      </c>
      <c r="D118" s="35"/>
      <c r="E118" s="35"/>
      <c r="F118" s="35"/>
      <c r="G118" s="35"/>
      <c r="H118" s="35"/>
      <c r="I118" s="35"/>
      <c r="J118" s="48" t="n">
        <f aca="false">J86</f>
        <v>35.15</v>
      </c>
      <c r="K118" s="0" t="s">
        <v>195</v>
      </c>
    </row>
    <row r="119" customFormat="false" ht="15" hidden="false" customHeight="false" outlineLevel="0" collapsed="false">
      <c r="B119" s="34" t="s">
        <v>87</v>
      </c>
      <c r="C119" s="35" t="s">
        <v>160</v>
      </c>
      <c r="D119" s="35"/>
      <c r="E119" s="35"/>
      <c r="F119" s="35"/>
      <c r="G119" s="35"/>
      <c r="H119" s="35"/>
      <c r="I119" s="35"/>
      <c r="J119" s="48" t="n">
        <f aca="false">J94</f>
        <v>395.79030442546</v>
      </c>
      <c r="K119" s="71" t="s">
        <v>163</v>
      </c>
      <c r="L119" s="71"/>
      <c r="M119" s="71"/>
      <c r="N119" s="71"/>
      <c r="O119" s="71"/>
      <c r="P119" s="71" t="s">
        <v>164</v>
      </c>
      <c r="Q119" s="68"/>
    </row>
    <row r="120" customFormat="false" ht="15" hidden="false" customHeight="false" outlineLevel="0" collapsed="false">
      <c r="B120" s="40"/>
      <c r="C120" s="40" t="s">
        <v>196</v>
      </c>
      <c r="D120" s="40"/>
      <c r="E120" s="40"/>
      <c r="F120" s="40"/>
      <c r="G120" s="40"/>
      <c r="H120" s="40"/>
      <c r="I120" s="40"/>
      <c r="J120" s="57" t="n">
        <f aca="false">SUM(J115:J119)</f>
        <v>3562.64350442546</v>
      </c>
    </row>
    <row r="121" customFormat="false" ht="15" hidden="false" customHeight="false" outlineLevel="0" collapsed="false">
      <c r="B121" s="34" t="s">
        <v>89</v>
      </c>
      <c r="C121" s="35" t="s">
        <v>170</v>
      </c>
      <c r="D121" s="35"/>
      <c r="E121" s="35"/>
      <c r="F121" s="35"/>
      <c r="G121" s="35"/>
      <c r="H121" s="35"/>
      <c r="I121" s="35"/>
      <c r="J121" s="48" t="n">
        <f aca="false">J104</f>
        <v>695.35</v>
      </c>
      <c r="K121" s="0" t="s">
        <v>197</v>
      </c>
    </row>
    <row r="122" customFormat="false" ht="17.35" hidden="false" customHeight="false" outlineLevel="0" collapsed="false">
      <c r="B122" s="91" t="s">
        <v>198</v>
      </c>
      <c r="C122" s="91"/>
      <c r="D122" s="91"/>
      <c r="E122" s="91"/>
      <c r="F122" s="91"/>
      <c r="G122" s="91"/>
      <c r="H122" s="91"/>
      <c r="I122" s="91"/>
      <c r="J122" s="92" t="n">
        <f aca="false">TRUNC(J120+J121,4)</f>
        <v>4257.9935</v>
      </c>
    </row>
    <row r="123" customFormat="false" ht="13.8" hidden="false" customHeight="false" outlineLevel="0" collapsed="false">
      <c r="B123" s="93"/>
      <c r="C123" s="93"/>
      <c r="D123" s="93"/>
      <c r="E123" s="93"/>
      <c r="F123" s="93"/>
      <c r="G123" s="94" t="s">
        <v>199</v>
      </c>
      <c r="H123" s="94"/>
      <c r="I123" s="94"/>
      <c r="J123" s="95" t="n">
        <v>298059.3</v>
      </c>
    </row>
    <row r="124" customFormat="false" ht="13.8" hidden="false" customHeight="false" outlineLevel="0" collapsed="false">
      <c r="B124" s="96"/>
      <c r="C124" s="97"/>
      <c r="D124" s="93"/>
      <c r="E124" s="93"/>
      <c r="F124" s="93"/>
      <c r="G124" s="98"/>
      <c r="H124" s="98"/>
      <c r="I124" s="98"/>
      <c r="J124" s="99"/>
    </row>
    <row r="125" customFormat="false" ht="13.8" hidden="false" customHeight="false" outlineLevel="0" collapsed="false">
      <c r="B125" s="100"/>
      <c r="C125" s="100"/>
      <c r="D125" s="101"/>
      <c r="J125" s="102"/>
    </row>
    <row r="126" customFormat="false" ht="15" hidden="false" customHeight="false" outlineLevel="0" collapsed="false">
      <c r="B126" s="103"/>
      <c r="C126" s="93"/>
      <c r="D126" s="93"/>
    </row>
    <row r="127" customFormat="false" ht="13.8" hidden="false" customHeight="false" outlineLevel="0" collapsed="false">
      <c r="B127" s="103"/>
      <c r="C127" s="93"/>
      <c r="D127" s="93"/>
    </row>
    <row r="128" customFormat="false" ht="13.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34">
    <mergeCell ref="B1:J1"/>
    <mergeCell ref="B2:J2"/>
    <mergeCell ref="C3:H3"/>
    <mergeCell ref="I3:J3"/>
    <mergeCell ref="C4:H4"/>
    <mergeCell ref="I4:J4"/>
    <mergeCell ref="C5:H5"/>
    <mergeCell ref="I5:J5"/>
    <mergeCell ref="C6:H6"/>
    <mergeCell ref="I6:J6"/>
    <mergeCell ref="B7:J7"/>
    <mergeCell ref="B8:C8"/>
    <mergeCell ref="D8:E8"/>
    <mergeCell ref="F8:J8"/>
    <mergeCell ref="B9:C9"/>
    <mergeCell ref="D9:E9"/>
    <mergeCell ref="F9:J9"/>
    <mergeCell ref="B10:J10"/>
    <mergeCell ref="C11:H11"/>
    <mergeCell ref="I11:J11"/>
    <mergeCell ref="C12:H12"/>
    <mergeCell ref="I12:J12"/>
    <mergeCell ref="C13:H13"/>
    <mergeCell ref="I13:J13"/>
    <mergeCell ref="C14:H14"/>
    <mergeCell ref="I14:J14"/>
    <mergeCell ref="C15:H15"/>
    <mergeCell ref="I15:J15"/>
    <mergeCell ref="B16:J16"/>
    <mergeCell ref="C17:H17"/>
    <mergeCell ref="C18:H18"/>
    <mergeCell ref="C19:H19"/>
    <mergeCell ref="C20:H20"/>
    <mergeCell ref="C21:H21"/>
    <mergeCell ref="C22:H22"/>
    <mergeCell ref="C23:H23"/>
    <mergeCell ref="B24:I24"/>
    <mergeCell ref="B26:J26"/>
    <mergeCell ref="B27:H27"/>
    <mergeCell ref="C28:H28"/>
    <mergeCell ref="C29:H29"/>
    <mergeCell ref="B30:H30"/>
    <mergeCell ref="B31:J31"/>
    <mergeCell ref="B32:H32"/>
    <mergeCell ref="C33:H33"/>
    <mergeCell ref="C34:H34"/>
    <mergeCell ref="C35:H35"/>
    <mergeCell ref="C36:H36"/>
    <mergeCell ref="C37:H37"/>
    <mergeCell ref="C38:H38"/>
    <mergeCell ref="C39:H39"/>
    <mergeCell ref="C40:H40"/>
    <mergeCell ref="B41:H41"/>
    <mergeCell ref="B42:J42"/>
    <mergeCell ref="B43:H43"/>
    <mergeCell ref="C44:H44"/>
    <mergeCell ref="C45:H45"/>
    <mergeCell ref="C46:H46"/>
    <mergeCell ref="C47:H47"/>
    <mergeCell ref="C48:H48"/>
    <mergeCell ref="C49:H49"/>
    <mergeCell ref="B50:I50"/>
    <mergeCell ref="B51:J51"/>
    <mergeCell ref="B52:J52"/>
    <mergeCell ref="B53:I53"/>
    <mergeCell ref="C54:I54"/>
    <mergeCell ref="C55:I55"/>
    <mergeCell ref="C56:I56"/>
    <mergeCell ref="B57:I57"/>
    <mergeCell ref="B58:J58"/>
    <mergeCell ref="B59:J59"/>
    <mergeCell ref="C60:H60"/>
    <mergeCell ref="C61:H61"/>
    <mergeCell ref="C62:H62"/>
    <mergeCell ref="C63:H63"/>
    <mergeCell ref="C64:H64"/>
    <mergeCell ref="C65:H65"/>
    <mergeCell ref="B66:H66"/>
    <mergeCell ref="B67:J67"/>
    <mergeCell ref="B68:J68"/>
    <mergeCell ref="B69:H69"/>
    <mergeCell ref="C70:H70"/>
    <mergeCell ref="C71:H71"/>
    <mergeCell ref="C72:H72"/>
    <mergeCell ref="C73:H73"/>
    <mergeCell ref="C74:H74"/>
    <mergeCell ref="C75:H75"/>
    <mergeCell ref="B76:H76"/>
    <mergeCell ref="B77:J77"/>
    <mergeCell ref="B78:H78"/>
    <mergeCell ref="C79:H79"/>
    <mergeCell ref="B80:H80"/>
    <mergeCell ref="B81:J81"/>
    <mergeCell ref="B82:J82"/>
    <mergeCell ref="B83:I83"/>
    <mergeCell ref="C84:I84"/>
    <mergeCell ref="C85:I85"/>
    <mergeCell ref="B86:I86"/>
    <mergeCell ref="B87:J87"/>
    <mergeCell ref="B88:J88"/>
    <mergeCell ref="C89:H89"/>
    <mergeCell ref="C90:H90"/>
    <mergeCell ref="C91:H91"/>
    <mergeCell ref="K91:N91"/>
    <mergeCell ref="C92:H92"/>
    <mergeCell ref="C93:H93"/>
    <mergeCell ref="B94:H94"/>
    <mergeCell ref="B95:J95"/>
    <mergeCell ref="B96:J96"/>
    <mergeCell ref="C97:H97"/>
    <mergeCell ref="C98:H98"/>
    <mergeCell ref="C99:H99"/>
    <mergeCell ref="C100:H100"/>
    <mergeCell ref="C101:H101"/>
    <mergeCell ref="C102:H102"/>
    <mergeCell ref="C103:H103"/>
    <mergeCell ref="B104:H104"/>
    <mergeCell ref="C105:H105"/>
    <mergeCell ref="C106:H106"/>
    <mergeCell ref="C108:H108"/>
    <mergeCell ref="C110:H110"/>
    <mergeCell ref="C112:H112"/>
    <mergeCell ref="B113:J113"/>
    <mergeCell ref="B114:I114"/>
    <mergeCell ref="C115:I115"/>
    <mergeCell ref="C116:I116"/>
    <mergeCell ref="C117:I117"/>
    <mergeCell ref="C118:I118"/>
    <mergeCell ref="C119:I119"/>
    <mergeCell ref="C120:I120"/>
    <mergeCell ref="C121:I121"/>
    <mergeCell ref="B122:I122"/>
    <mergeCell ref="G123:I123"/>
    <mergeCell ref="G124:I124"/>
  </mergeCells>
  <printOptions headings="false" gridLines="false" gridLinesSet="true" horizontalCentered="false" verticalCentered="false"/>
  <pageMargins left="0.329166666666667"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J1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00390625" defaultRowHeight="15" zeroHeight="false" outlineLevelRow="0" outlineLevelCol="0"/>
  <cols>
    <col collapsed="false" customWidth="true" hidden="false" outlineLevel="0" max="2" min="2" style="0" width="10.42"/>
    <col collapsed="false" customWidth="true" hidden="false" outlineLevel="0" max="3" min="3" style="0" width="49.57"/>
    <col collapsed="false" customWidth="true" hidden="false" outlineLevel="0" max="9" min="9" style="0" width="9.42"/>
    <col collapsed="false" customWidth="true" hidden="false" outlineLevel="0" max="10" min="10" style="0" width="23.71"/>
  </cols>
  <sheetData>
    <row r="1" customFormat="false" ht="15" hidden="false" customHeight="false" outlineLevel="0" collapsed="false">
      <c r="B1" s="51" t="s">
        <v>200</v>
      </c>
      <c r="C1" s="51"/>
      <c r="D1" s="51"/>
      <c r="E1" s="51"/>
      <c r="F1" s="51"/>
      <c r="G1" s="51"/>
      <c r="H1" s="51"/>
      <c r="I1" s="51"/>
      <c r="J1" s="51"/>
    </row>
    <row r="2" customFormat="false" ht="15" hidden="false" customHeight="false" outlineLevel="0" collapsed="false">
      <c r="B2" s="104" t="s">
        <v>201</v>
      </c>
      <c r="C2" s="104"/>
      <c r="D2" s="104"/>
      <c r="E2" s="104"/>
      <c r="F2" s="104"/>
      <c r="G2" s="104"/>
      <c r="H2" s="104"/>
      <c r="I2" s="104"/>
      <c r="J2" s="104"/>
    </row>
    <row r="3" customFormat="false" ht="15" hidden="false" customHeight="false" outlineLevel="0" collapsed="false">
      <c r="B3" s="104" t="s">
        <v>202</v>
      </c>
      <c r="C3" s="104"/>
      <c r="D3" s="104"/>
      <c r="E3" s="104"/>
      <c r="F3" s="104"/>
      <c r="G3" s="104"/>
      <c r="H3" s="104"/>
      <c r="I3" s="104"/>
      <c r="J3" s="104"/>
    </row>
    <row r="4" customFormat="false" ht="15" hidden="false" customHeight="false" outlineLevel="0" collapsed="false">
      <c r="B4" s="105" t="s">
        <v>203</v>
      </c>
      <c r="C4" s="105"/>
      <c r="D4" s="105"/>
      <c r="E4" s="105"/>
      <c r="F4" s="105"/>
      <c r="G4" s="105"/>
      <c r="H4" s="105"/>
      <c r="I4" s="105"/>
      <c r="J4" s="105"/>
    </row>
    <row r="5" customFormat="false" ht="15" hidden="false" customHeight="false" outlineLevel="0" collapsed="false">
      <c r="B5" s="106"/>
      <c r="C5" s="106"/>
      <c r="D5" s="106"/>
      <c r="E5" s="106"/>
      <c r="F5" s="106"/>
      <c r="G5" s="106"/>
      <c r="H5" s="106"/>
      <c r="I5" s="106"/>
      <c r="J5" s="106"/>
    </row>
    <row r="6" customFormat="false" ht="15" hidden="false" customHeight="false" outlineLevel="0" collapsed="false">
      <c r="B6" s="32" t="s">
        <v>204</v>
      </c>
      <c r="C6" s="32"/>
      <c r="D6" s="32"/>
      <c r="E6" s="32"/>
      <c r="F6" s="32"/>
      <c r="G6" s="32"/>
      <c r="H6" s="32"/>
      <c r="I6" s="32"/>
      <c r="J6" s="32"/>
    </row>
    <row r="7" customFormat="false" ht="15" hidden="false" customHeight="false" outlineLevel="0" collapsed="false">
      <c r="B7" s="107"/>
      <c r="C7" s="107"/>
      <c r="D7" s="107"/>
      <c r="E7" s="107"/>
      <c r="F7" s="107"/>
      <c r="G7" s="107"/>
      <c r="H7" s="107"/>
      <c r="I7" s="107"/>
      <c r="J7" s="107"/>
    </row>
    <row r="8" customFormat="false" ht="15" hidden="false" customHeight="false" outlineLevel="0" collapsed="false">
      <c r="B8" s="33" t="s">
        <v>52</v>
      </c>
      <c r="C8" s="33"/>
      <c r="D8" s="33"/>
      <c r="E8" s="33"/>
      <c r="F8" s="33"/>
      <c r="G8" s="33"/>
      <c r="H8" s="33"/>
      <c r="I8" s="33"/>
      <c r="J8" s="33"/>
    </row>
    <row r="9" customFormat="false" ht="15" hidden="false" customHeight="false" outlineLevel="0" collapsed="false">
      <c r="B9" s="34" t="s">
        <v>53</v>
      </c>
      <c r="C9" s="35" t="s">
        <v>54</v>
      </c>
      <c r="D9" s="35"/>
      <c r="E9" s="35"/>
      <c r="F9" s="35"/>
      <c r="G9" s="35"/>
      <c r="H9" s="35"/>
      <c r="I9" s="36"/>
      <c r="J9" s="36"/>
    </row>
    <row r="10" customFormat="false" ht="15" hidden="false" customHeight="false" outlineLevel="0" collapsed="false">
      <c r="B10" s="34" t="s">
        <v>55</v>
      </c>
      <c r="C10" s="35" t="s">
        <v>56</v>
      </c>
      <c r="D10" s="35"/>
      <c r="E10" s="35"/>
      <c r="F10" s="35"/>
      <c r="G10" s="35"/>
      <c r="H10" s="35"/>
      <c r="I10" s="34" t="s">
        <v>205</v>
      </c>
      <c r="J10" s="34"/>
    </row>
    <row r="11" customFormat="false" ht="15" hidden="false" customHeight="true" outlineLevel="0" collapsed="false">
      <c r="B11" s="34" t="s">
        <v>58</v>
      </c>
      <c r="C11" s="35" t="s">
        <v>59</v>
      </c>
      <c r="D11" s="35"/>
      <c r="E11" s="35"/>
      <c r="F11" s="35"/>
      <c r="G11" s="35"/>
      <c r="H11" s="35"/>
      <c r="I11" s="108" t="s">
        <v>206</v>
      </c>
      <c r="J11" s="108"/>
    </row>
    <row r="12" customFormat="false" ht="15" hidden="false" customHeight="false" outlineLevel="0" collapsed="false">
      <c r="B12" s="34" t="s">
        <v>61</v>
      </c>
      <c r="C12" s="35" t="s">
        <v>62</v>
      </c>
      <c r="D12" s="35"/>
      <c r="E12" s="35"/>
      <c r="F12" s="35"/>
      <c r="G12" s="35"/>
      <c r="H12" s="35"/>
      <c r="I12" s="34" t="n">
        <v>12</v>
      </c>
      <c r="J12" s="34"/>
    </row>
    <row r="13" customFormat="false" ht="15" hidden="false" customHeight="false" outlineLevel="0" collapsed="false">
      <c r="B13" s="106"/>
      <c r="C13" s="109"/>
      <c r="D13" s="109"/>
      <c r="E13" s="109"/>
      <c r="F13" s="109"/>
      <c r="G13" s="109"/>
      <c r="H13" s="109"/>
      <c r="I13" s="106"/>
      <c r="J13" s="106"/>
    </row>
    <row r="14" customFormat="false" ht="15" hidden="false" customHeight="false" outlineLevel="0" collapsed="false">
      <c r="B14" s="33" t="s">
        <v>64</v>
      </c>
      <c r="C14" s="33"/>
      <c r="D14" s="33"/>
      <c r="E14" s="33"/>
      <c r="F14" s="33"/>
      <c r="G14" s="33"/>
      <c r="H14" s="33"/>
      <c r="I14" s="33"/>
      <c r="J14" s="33"/>
    </row>
    <row r="15" customFormat="false" ht="15" hidden="false" customHeight="false" outlineLevel="0" collapsed="false">
      <c r="B15" s="34" t="s">
        <v>65</v>
      </c>
      <c r="C15" s="34"/>
      <c r="D15" s="34" t="s">
        <v>66</v>
      </c>
      <c r="E15" s="34"/>
      <c r="F15" s="34" t="s">
        <v>67</v>
      </c>
      <c r="G15" s="34"/>
      <c r="H15" s="34"/>
      <c r="I15" s="34"/>
      <c r="J15" s="34"/>
    </row>
    <row r="16" customFormat="false" ht="15" hidden="false" customHeight="false" outlineLevel="0" collapsed="false">
      <c r="B16" s="34" t="s">
        <v>207</v>
      </c>
      <c r="C16" s="34"/>
      <c r="D16" s="34" t="s">
        <v>69</v>
      </c>
      <c r="E16" s="34"/>
      <c r="F16" s="34"/>
      <c r="G16" s="34"/>
      <c r="H16" s="34"/>
      <c r="I16" s="34"/>
      <c r="J16" s="34"/>
    </row>
    <row r="17" customFormat="false" ht="15" hidden="false" customHeight="false" outlineLevel="0" collapsed="false">
      <c r="B17" s="106"/>
      <c r="C17" s="109"/>
      <c r="D17" s="109"/>
      <c r="E17" s="109"/>
      <c r="F17" s="109"/>
      <c r="G17" s="109"/>
      <c r="H17" s="109"/>
      <c r="I17" s="106"/>
      <c r="J17" s="106"/>
    </row>
    <row r="18" customFormat="false" ht="15" hidden="false" customHeight="false" outlineLevel="0" collapsed="false">
      <c r="B18" s="33" t="s">
        <v>208</v>
      </c>
      <c r="C18" s="33"/>
      <c r="D18" s="33"/>
      <c r="E18" s="33"/>
      <c r="F18" s="33"/>
      <c r="G18" s="33"/>
      <c r="H18" s="33"/>
      <c r="I18" s="33"/>
      <c r="J18" s="33"/>
    </row>
    <row r="19" customFormat="false" ht="15" hidden="false" customHeight="false" outlineLevel="0" collapsed="false">
      <c r="B19" s="34" t="n">
        <v>1</v>
      </c>
      <c r="C19" s="35" t="s">
        <v>71</v>
      </c>
      <c r="D19" s="35"/>
      <c r="E19" s="35"/>
      <c r="F19" s="35"/>
      <c r="G19" s="35"/>
      <c r="H19" s="35"/>
      <c r="I19" s="34" t="s">
        <v>209</v>
      </c>
      <c r="J19" s="34"/>
    </row>
    <row r="20" customFormat="false" ht="15" hidden="false" customHeight="false" outlineLevel="0" collapsed="false">
      <c r="B20" s="34" t="n">
        <v>2</v>
      </c>
      <c r="C20" s="35" t="s">
        <v>73</v>
      </c>
      <c r="D20" s="35"/>
      <c r="E20" s="35"/>
      <c r="F20" s="35"/>
      <c r="G20" s="35"/>
      <c r="H20" s="35"/>
      <c r="I20" s="34" t="s">
        <v>210</v>
      </c>
      <c r="J20" s="34"/>
    </row>
    <row r="21" customFormat="false" ht="15" hidden="false" customHeight="false" outlineLevel="0" collapsed="false">
      <c r="B21" s="34" t="n">
        <v>3</v>
      </c>
      <c r="C21" s="35" t="s">
        <v>75</v>
      </c>
      <c r="D21" s="35"/>
      <c r="E21" s="35"/>
      <c r="F21" s="35"/>
      <c r="G21" s="35"/>
      <c r="H21" s="35"/>
      <c r="I21" s="110" t="n">
        <v>1201.3</v>
      </c>
      <c r="J21" s="110"/>
    </row>
    <row r="22" customFormat="false" ht="15" hidden="false" customHeight="false" outlineLevel="0" collapsed="false">
      <c r="B22" s="34" t="n">
        <v>4</v>
      </c>
      <c r="C22" s="35" t="s">
        <v>76</v>
      </c>
      <c r="D22" s="35"/>
      <c r="E22" s="35"/>
      <c r="F22" s="35"/>
      <c r="G22" s="35"/>
      <c r="H22" s="35"/>
      <c r="I22" s="40" t="s">
        <v>211</v>
      </c>
      <c r="J22" s="40"/>
    </row>
    <row r="23" customFormat="false" ht="15" hidden="false" customHeight="false" outlineLevel="0" collapsed="false">
      <c r="B23" s="34" t="n">
        <v>5</v>
      </c>
      <c r="C23" s="35" t="s">
        <v>77</v>
      </c>
      <c r="D23" s="35"/>
      <c r="E23" s="35"/>
      <c r="F23" s="35"/>
      <c r="G23" s="35"/>
      <c r="H23" s="35"/>
      <c r="I23" s="36" t="n">
        <v>43831</v>
      </c>
      <c r="J23" s="36"/>
    </row>
    <row r="24" customFormat="false" ht="15" hidden="false" customHeight="false" outlineLevel="0" collapsed="false">
      <c r="B24" s="106"/>
      <c r="C24" s="106"/>
      <c r="D24" s="106"/>
      <c r="E24" s="106"/>
      <c r="F24" s="106"/>
      <c r="G24" s="106"/>
      <c r="H24" s="106"/>
      <c r="I24" s="106"/>
      <c r="J24" s="106"/>
    </row>
    <row r="25" customFormat="false" ht="15" hidden="false" customHeight="false" outlineLevel="0" collapsed="false">
      <c r="B25" s="44" t="s">
        <v>79</v>
      </c>
      <c r="C25" s="44"/>
      <c r="D25" s="44"/>
      <c r="E25" s="44"/>
      <c r="F25" s="44"/>
      <c r="G25" s="44"/>
      <c r="H25" s="44"/>
      <c r="I25" s="44"/>
      <c r="J25" s="44"/>
    </row>
    <row r="26" customFormat="false" ht="15" hidden="false" customHeight="false" outlineLevel="0" collapsed="false">
      <c r="B26" s="40" t="n">
        <v>1</v>
      </c>
      <c r="C26" s="40" t="s">
        <v>80</v>
      </c>
      <c r="D26" s="40"/>
      <c r="E26" s="40"/>
      <c r="F26" s="40"/>
      <c r="G26" s="40"/>
      <c r="H26" s="40"/>
      <c r="I26" s="40" t="s">
        <v>81</v>
      </c>
      <c r="J26" s="40" t="s">
        <v>82</v>
      </c>
    </row>
    <row r="27" customFormat="false" ht="15" hidden="false" customHeight="false" outlineLevel="0" collapsed="false">
      <c r="B27" s="40" t="s">
        <v>53</v>
      </c>
      <c r="C27" s="35" t="s">
        <v>83</v>
      </c>
      <c r="D27" s="35"/>
      <c r="E27" s="35"/>
      <c r="F27" s="35"/>
      <c r="G27" s="35"/>
      <c r="H27" s="35"/>
      <c r="I27" s="45"/>
      <c r="J27" s="48" t="n">
        <v>1201.3</v>
      </c>
    </row>
    <row r="28" customFormat="false" ht="15" hidden="false" customHeight="false" outlineLevel="0" collapsed="false">
      <c r="B28" s="40" t="s">
        <v>55</v>
      </c>
      <c r="C28" s="35" t="s">
        <v>84</v>
      </c>
      <c r="D28" s="35"/>
      <c r="E28" s="35"/>
      <c r="F28" s="35"/>
      <c r="G28" s="35"/>
      <c r="H28" s="35"/>
      <c r="I28" s="47"/>
      <c r="J28" s="48" t="n">
        <v>0</v>
      </c>
    </row>
    <row r="29" customFormat="false" ht="15" hidden="false" customHeight="false" outlineLevel="0" collapsed="false">
      <c r="B29" s="40" t="s">
        <v>58</v>
      </c>
      <c r="C29" s="35" t="s">
        <v>212</v>
      </c>
      <c r="D29" s="35"/>
      <c r="E29" s="35"/>
      <c r="F29" s="35"/>
      <c r="G29" s="35"/>
      <c r="H29" s="35"/>
      <c r="I29" s="47"/>
      <c r="J29" s="48" t="n">
        <v>0</v>
      </c>
    </row>
    <row r="30" customFormat="false" ht="15" hidden="false" customHeight="false" outlineLevel="0" collapsed="false">
      <c r="B30" s="40" t="s">
        <v>61</v>
      </c>
      <c r="C30" s="35" t="s">
        <v>213</v>
      </c>
      <c r="D30" s="35"/>
      <c r="E30" s="35"/>
      <c r="F30" s="35"/>
      <c r="G30" s="35"/>
      <c r="H30" s="35"/>
      <c r="I30" s="47"/>
      <c r="J30" s="48" t="n">
        <v>0</v>
      </c>
    </row>
    <row r="31" customFormat="false" ht="15" hidden="false" customHeight="false" outlineLevel="0" collapsed="false">
      <c r="B31" s="40" t="s">
        <v>87</v>
      </c>
      <c r="C31" s="35" t="s">
        <v>214</v>
      </c>
      <c r="D31" s="35"/>
      <c r="E31" s="35"/>
      <c r="F31" s="35"/>
      <c r="G31" s="35"/>
      <c r="H31" s="35"/>
      <c r="I31" s="47"/>
      <c r="J31" s="48" t="n">
        <v>0</v>
      </c>
    </row>
    <row r="32" customFormat="false" ht="15" hidden="false" customHeight="false" outlineLevel="0" collapsed="false">
      <c r="B32" s="40" t="s">
        <v>89</v>
      </c>
      <c r="C32" s="35" t="s">
        <v>215</v>
      </c>
      <c r="D32" s="35"/>
      <c r="E32" s="35"/>
      <c r="F32" s="35"/>
      <c r="G32" s="35"/>
      <c r="H32" s="35"/>
      <c r="I32" s="47" t="n">
        <v>0.2</v>
      </c>
      <c r="J32" s="48" t="n">
        <f aca="false">TRUNC(J27*I32,2)</f>
        <v>240.26</v>
      </c>
    </row>
    <row r="33" customFormat="false" ht="15" hidden="false" customHeight="false" outlineLevel="0" collapsed="false">
      <c r="B33" s="40" t="s">
        <v>91</v>
      </c>
      <c r="C33" s="40"/>
      <c r="D33" s="40"/>
      <c r="E33" s="40"/>
      <c r="F33" s="40"/>
      <c r="G33" s="40"/>
      <c r="H33" s="40"/>
      <c r="I33" s="40"/>
      <c r="J33" s="57" t="n">
        <f aca="false">SUM(J27:J32)</f>
        <v>1441.56</v>
      </c>
    </row>
    <row r="34" customFormat="false" ht="15" hidden="false" customHeight="false" outlineLevel="0" collapsed="false">
      <c r="B34" s="51"/>
      <c r="C34" s="51"/>
      <c r="D34" s="51"/>
      <c r="E34" s="51"/>
      <c r="F34" s="51"/>
      <c r="G34" s="51"/>
      <c r="H34" s="51"/>
      <c r="I34" s="51"/>
      <c r="J34" s="52"/>
    </row>
    <row r="35" customFormat="false" ht="15" hidden="false" customHeight="false" outlineLevel="0" collapsed="false">
      <c r="B35" s="44" t="s">
        <v>92</v>
      </c>
      <c r="C35" s="44"/>
      <c r="D35" s="44"/>
      <c r="E35" s="44"/>
      <c r="F35" s="44"/>
      <c r="G35" s="44"/>
      <c r="H35" s="44"/>
      <c r="I35" s="44"/>
      <c r="J35" s="44"/>
    </row>
    <row r="36" customFormat="false" ht="15" hidden="false" customHeight="false" outlineLevel="0" collapsed="false">
      <c r="B36" s="53" t="s">
        <v>93</v>
      </c>
      <c r="C36" s="53"/>
      <c r="D36" s="53"/>
      <c r="E36" s="53"/>
      <c r="F36" s="53"/>
      <c r="G36" s="53"/>
      <c r="H36" s="53"/>
      <c r="I36" s="53" t="s">
        <v>81</v>
      </c>
      <c r="J36" s="53" t="s">
        <v>82</v>
      </c>
    </row>
    <row r="37" customFormat="false" ht="15" hidden="false" customHeight="false" outlineLevel="0" collapsed="false">
      <c r="B37" s="40" t="s">
        <v>53</v>
      </c>
      <c r="C37" s="35" t="s">
        <v>216</v>
      </c>
      <c r="D37" s="35"/>
      <c r="E37" s="35"/>
      <c r="F37" s="35"/>
      <c r="G37" s="35"/>
      <c r="H37" s="35"/>
      <c r="I37" s="54" t="n">
        <v>0.083333</v>
      </c>
      <c r="J37" s="48" t="n">
        <f aca="false">TRUNC($J$33*I37,2)</f>
        <v>120.08</v>
      </c>
    </row>
    <row r="38" customFormat="false" ht="15" hidden="false" customHeight="false" outlineLevel="0" collapsed="false">
      <c r="B38" s="40" t="s">
        <v>55</v>
      </c>
      <c r="C38" s="35" t="s">
        <v>95</v>
      </c>
      <c r="D38" s="35"/>
      <c r="E38" s="35"/>
      <c r="F38" s="35"/>
      <c r="G38" s="35"/>
      <c r="H38" s="35"/>
      <c r="I38" s="55" t="n">
        <v>0.121</v>
      </c>
      <c r="J38" s="48" t="n">
        <f aca="false">TRUNC($J$33*I38,2)</f>
        <v>174.42</v>
      </c>
    </row>
    <row r="39" customFormat="false" ht="15" hidden="false" customHeight="false" outlineLevel="0" collapsed="false">
      <c r="B39" s="40" t="s">
        <v>98</v>
      </c>
      <c r="C39" s="40"/>
      <c r="D39" s="40"/>
      <c r="E39" s="40"/>
      <c r="F39" s="40"/>
      <c r="G39" s="40"/>
      <c r="H39" s="40"/>
      <c r="I39" s="56" t="n">
        <f aca="false">SUM(I37:I38)</f>
        <v>0.2043</v>
      </c>
      <c r="J39" s="57" t="n">
        <f aca="false">SUM(J37:J38)</f>
        <v>294.5</v>
      </c>
    </row>
    <row r="40" customFormat="false" ht="15" hidden="false" customHeight="false" outlineLevel="0" collapsed="false">
      <c r="B40" s="58"/>
      <c r="C40" s="58"/>
      <c r="D40" s="58"/>
      <c r="E40" s="58"/>
      <c r="F40" s="58"/>
      <c r="G40" s="58"/>
      <c r="H40" s="58"/>
      <c r="I40" s="58"/>
      <c r="J40" s="58"/>
    </row>
    <row r="41" customFormat="false" ht="15" hidden="false" customHeight="false" outlineLevel="0" collapsed="false">
      <c r="B41" s="53" t="s">
        <v>99</v>
      </c>
      <c r="C41" s="53"/>
      <c r="D41" s="53"/>
      <c r="E41" s="53"/>
      <c r="F41" s="53"/>
      <c r="G41" s="53"/>
      <c r="H41" s="53"/>
      <c r="I41" s="53" t="s">
        <v>81</v>
      </c>
      <c r="J41" s="53" t="s">
        <v>82</v>
      </c>
    </row>
    <row r="42" customFormat="false" ht="15" hidden="false" customHeight="false" outlineLevel="0" collapsed="false">
      <c r="B42" s="40" t="s">
        <v>53</v>
      </c>
      <c r="C42" s="35" t="s">
        <v>100</v>
      </c>
      <c r="D42" s="35"/>
      <c r="E42" s="35"/>
      <c r="F42" s="35"/>
      <c r="G42" s="35"/>
      <c r="H42" s="35"/>
      <c r="I42" s="54" t="n">
        <v>0.2</v>
      </c>
      <c r="J42" s="48" t="n">
        <f aca="false">TRUNC(($J$33+$J$39)*$I$42,2)</f>
        <v>347.21</v>
      </c>
    </row>
    <row r="43" customFormat="false" ht="15" hidden="false" customHeight="false" outlineLevel="0" collapsed="false">
      <c r="B43" s="40" t="s">
        <v>55</v>
      </c>
      <c r="C43" s="35" t="s">
        <v>101</v>
      </c>
      <c r="D43" s="35"/>
      <c r="E43" s="35"/>
      <c r="F43" s="35"/>
      <c r="G43" s="35"/>
      <c r="H43" s="35"/>
      <c r="I43" s="54" t="n">
        <v>0.025</v>
      </c>
      <c r="J43" s="48" t="n">
        <f aca="false">TRUNC(($J$33+$J$39)*$I$43,2)</f>
        <v>43.4</v>
      </c>
    </row>
    <row r="44" customFormat="false" ht="15" hidden="false" customHeight="false" outlineLevel="0" collapsed="false">
      <c r="B44" s="40" t="s">
        <v>58</v>
      </c>
      <c r="C44" s="35" t="s">
        <v>103</v>
      </c>
      <c r="D44" s="35"/>
      <c r="E44" s="35"/>
      <c r="F44" s="35"/>
      <c r="G44" s="35"/>
      <c r="H44" s="35"/>
      <c r="I44" s="54" t="n">
        <v>0.03</v>
      </c>
      <c r="J44" s="48" t="n">
        <f aca="false">TRUNC(($J$33+$J$39)*$I$44,2)</f>
        <v>52.08</v>
      </c>
    </row>
    <row r="45" customFormat="false" ht="15" hidden="false" customHeight="false" outlineLevel="0" collapsed="false">
      <c r="B45" s="40" t="s">
        <v>61</v>
      </c>
      <c r="C45" s="35" t="s">
        <v>104</v>
      </c>
      <c r="D45" s="35"/>
      <c r="E45" s="35"/>
      <c r="F45" s="35"/>
      <c r="G45" s="35"/>
      <c r="H45" s="35"/>
      <c r="I45" s="54" t="n">
        <v>0.015</v>
      </c>
      <c r="J45" s="48" t="n">
        <f aca="false">TRUNC(($J$33+$J$39)*$I$45,2)</f>
        <v>26.04</v>
      </c>
    </row>
    <row r="46" customFormat="false" ht="15" hidden="false" customHeight="false" outlineLevel="0" collapsed="false">
      <c r="B46" s="40" t="s">
        <v>87</v>
      </c>
      <c r="C46" s="35" t="s">
        <v>105</v>
      </c>
      <c r="D46" s="35"/>
      <c r="E46" s="35"/>
      <c r="F46" s="35"/>
      <c r="G46" s="35"/>
      <c r="H46" s="35"/>
      <c r="I46" s="54" t="n">
        <v>0.01</v>
      </c>
      <c r="J46" s="48" t="n">
        <f aca="false">TRUNC(($J$33+$J$39)*$I$46,2)</f>
        <v>17.36</v>
      </c>
    </row>
    <row r="47" customFormat="false" ht="15" hidden="false" customHeight="false" outlineLevel="0" collapsed="false">
      <c r="B47" s="40" t="s">
        <v>89</v>
      </c>
      <c r="C47" s="35" t="s">
        <v>106</v>
      </c>
      <c r="D47" s="35"/>
      <c r="E47" s="35"/>
      <c r="F47" s="35"/>
      <c r="G47" s="35"/>
      <c r="H47" s="35"/>
      <c r="I47" s="54" t="n">
        <v>0.006</v>
      </c>
      <c r="J47" s="48" t="n">
        <f aca="false">TRUNC(($J$33+$J$39)*$I$47,2)</f>
        <v>10.41</v>
      </c>
    </row>
    <row r="48" customFormat="false" ht="15" hidden="false" customHeight="false" outlineLevel="0" collapsed="false">
      <c r="B48" s="40" t="s">
        <v>107</v>
      </c>
      <c r="C48" s="35" t="s">
        <v>108</v>
      </c>
      <c r="D48" s="35"/>
      <c r="E48" s="35"/>
      <c r="F48" s="35"/>
      <c r="G48" s="35"/>
      <c r="H48" s="35"/>
      <c r="I48" s="54" t="n">
        <v>0.002</v>
      </c>
      <c r="J48" s="48" t="n">
        <f aca="false">TRUNC(($J$33+$J$39)*$I$48,2)</f>
        <v>3.47</v>
      </c>
    </row>
    <row r="49" customFormat="false" ht="15" hidden="false" customHeight="false" outlineLevel="0" collapsed="false">
      <c r="B49" s="40" t="s">
        <v>109</v>
      </c>
      <c r="C49" s="35" t="s">
        <v>110</v>
      </c>
      <c r="D49" s="35"/>
      <c r="E49" s="35"/>
      <c r="F49" s="35"/>
      <c r="G49" s="35"/>
      <c r="H49" s="35"/>
      <c r="I49" s="54" t="n">
        <v>0.08</v>
      </c>
      <c r="J49" s="48" t="n">
        <f aca="false">TRUNC(($J$33+$J$39)*$I$49,2)</f>
        <v>138.88</v>
      </c>
    </row>
    <row r="50" customFormat="false" ht="15" hidden="false" customHeight="false" outlineLevel="0" collapsed="false">
      <c r="B50" s="40" t="s">
        <v>111</v>
      </c>
      <c r="C50" s="40"/>
      <c r="D50" s="40"/>
      <c r="E50" s="40"/>
      <c r="F50" s="40"/>
      <c r="G50" s="40"/>
      <c r="H50" s="40"/>
      <c r="I50" s="56" t="n">
        <f aca="false">SUM(I42:I49)</f>
        <v>0.368</v>
      </c>
      <c r="J50" s="57" t="n">
        <f aca="false">SUM(J42:J49)</f>
        <v>638.85</v>
      </c>
    </row>
    <row r="51" customFormat="false" ht="15" hidden="false" customHeight="false" outlineLevel="0" collapsed="false">
      <c r="B51" s="59"/>
      <c r="C51" s="59"/>
      <c r="D51" s="59"/>
      <c r="E51" s="59"/>
      <c r="F51" s="59"/>
      <c r="G51" s="59"/>
      <c r="H51" s="59"/>
      <c r="I51" s="59"/>
      <c r="J51" s="59"/>
    </row>
    <row r="52" customFormat="false" ht="15" hidden="false" customHeight="false" outlineLevel="0" collapsed="false">
      <c r="B52" s="53" t="s">
        <v>112</v>
      </c>
      <c r="C52" s="53"/>
      <c r="D52" s="53"/>
      <c r="E52" s="53"/>
      <c r="F52" s="53"/>
      <c r="G52" s="53"/>
      <c r="H52" s="53"/>
      <c r="I52" s="60"/>
      <c r="J52" s="53" t="s">
        <v>82</v>
      </c>
    </row>
    <row r="53" customFormat="false" ht="15" hidden="false" customHeight="false" outlineLevel="0" collapsed="false">
      <c r="B53" s="40" t="s">
        <v>53</v>
      </c>
      <c r="C53" s="45" t="s">
        <v>217</v>
      </c>
      <c r="D53" s="45"/>
      <c r="E53" s="45"/>
      <c r="F53" s="45"/>
      <c r="G53" s="45"/>
      <c r="H53" s="45"/>
      <c r="I53" s="34" t="s">
        <v>114</v>
      </c>
      <c r="J53" s="61" t="n">
        <f aca="false">TRUNC((4.83*2*22)-(6%*J27),2)</f>
        <v>140.44</v>
      </c>
    </row>
    <row r="54" customFormat="false" ht="15" hidden="false" customHeight="false" outlineLevel="0" collapsed="false">
      <c r="B54" s="40" t="s">
        <v>55</v>
      </c>
      <c r="C54" s="45" t="s">
        <v>218</v>
      </c>
      <c r="D54" s="45"/>
      <c r="E54" s="45"/>
      <c r="F54" s="45"/>
      <c r="G54" s="45"/>
      <c r="H54" s="45"/>
      <c r="I54" s="34" t="s">
        <v>114</v>
      </c>
      <c r="J54" s="61" t="n">
        <f aca="false">TRUNC(((15.93-1.11)*22)+110.94,2)</f>
        <v>436.98</v>
      </c>
    </row>
    <row r="55" customFormat="false" ht="15" hidden="false" customHeight="false" outlineLevel="0" collapsed="false">
      <c r="B55" s="40" t="s">
        <v>58</v>
      </c>
      <c r="C55" s="35" t="s">
        <v>219</v>
      </c>
      <c r="D55" s="35"/>
      <c r="E55" s="35"/>
      <c r="F55" s="35"/>
      <c r="G55" s="35"/>
      <c r="H55" s="35"/>
      <c r="I55" s="34" t="s">
        <v>114</v>
      </c>
      <c r="J55" s="61" t="n">
        <f aca="false">9.74+3.93</f>
        <v>13.67</v>
      </c>
    </row>
    <row r="56" customFormat="false" ht="15" hidden="false" customHeight="false" outlineLevel="0" collapsed="false">
      <c r="B56" s="40" t="s">
        <v>61</v>
      </c>
      <c r="C56" s="45" t="s">
        <v>117</v>
      </c>
      <c r="D56" s="45"/>
      <c r="E56" s="45"/>
      <c r="F56" s="45"/>
      <c r="G56" s="45"/>
      <c r="H56" s="45"/>
      <c r="I56" s="34" t="s">
        <v>114</v>
      </c>
      <c r="J56" s="61" t="n">
        <v>28</v>
      </c>
    </row>
    <row r="57" customFormat="false" ht="15" hidden="false" customHeight="false" outlineLevel="0" collapsed="false">
      <c r="B57" s="40" t="s">
        <v>87</v>
      </c>
      <c r="C57" s="35" t="s">
        <v>118</v>
      </c>
      <c r="D57" s="35"/>
      <c r="E57" s="35"/>
      <c r="F57" s="35"/>
      <c r="G57" s="35"/>
      <c r="H57" s="35"/>
      <c r="I57" s="34" t="s">
        <v>114</v>
      </c>
      <c r="J57" s="61" t="n">
        <v>0</v>
      </c>
    </row>
    <row r="58" customFormat="false" ht="15" hidden="false" customHeight="false" outlineLevel="0" collapsed="false">
      <c r="B58" s="40" t="s">
        <v>89</v>
      </c>
      <c r="C58" s="45" t="s">
        <v>119</v>
      </c>
      <c r="D58" s="45"/>
      <c r="E58" s="45"/>
      <c r="F58" s="45"/>
      <c r="G58" s="45"/>
      <c r="H58" s="45"/>
      <c r="I58" s="34" t="s">
        <v>114</v>
      </c>
      <c r="J58" s="61" t="n">
        <v>0</v>
      </c>
    </row>
    <row r="59" customFormat="false" ht="15" hidden="false" customHeight="false" outlineLevel="0" collapsed="false">
      <c r="B59" s="40" t="s">
        <v>120</v>
      </c>
      <c r="C59" s="40"/>
      <c r="D59" s="40"/>
      <c r="E59" s="40"/>
      <c r="F59" s="40"/>
      <c r="G59" s="40"/>
      <c r="H59" s="40"/>
      <c r="I59" s="40"/>
      <c r="J59" s="57" t="n">
        <f aca="false">SUM(J53:J58)</f>
        <v>619.09</v>
      </c>
    </row>
    <row r="60" customFormat="false" ht="15" hidden="false" customHeight="false" outlineLevel="0" collapsed="false">
      <c r="B60" s="59"/>
      <c r="C60" s="59"/>
      <c r="D60" s="59"/>
      <c r="E60" s="59"/>
      <c r="F60" s="59"/>
      <c r="G60" s="59"/>
      <c r="H60" s="59"/>
      <c r="I60" s="59"/>
      <c r="J60" s="59"/>
    </row>
    <row r="61" customFormat="false" ht="15" hidden="false" customHeight="false" outlineLevel="0" collapsed="false">
      <c r="B61" s="33" t="s">
        <v>121</v>
      </c>
      <c r="C61" s="33"/>
      <c r="D61" s="33"/>
      <c r="E61" s="33"/>
      <c r="F61" s="33"/>
      <c r="G61" s="33"/>
      <c r="H61" s="33"/>
      <c r="I61" s="33"/>
      <c r="J61" s="33"/>
    </row>
    <row r="62" customFormat="false" ht="15" hidden="false" customHeight="false" outlineLevel="0" collapsed="false">
      <c r="B62" s="40" t="s">
        <v>122</v>
      </c>
      <c r="C62" s="40"/>
      <c r="D62" s="40"/>
      <c r="E62" s="40"/>
      <c r="F62" s="40"/>
      <c r="G62" s="40"/>
      <c r="H62" s="40"/>
      <c r="I62" s="40"/>
      <c r="J62" s="40" t="s">
        <v>82</v>
      </c>
    </row>
    <row r="63" customFormat="false" ht="15" hidden="false" customHeight="false" outlineLevel="0" collapsed="false">
      <c r="B63" s="40" t="s">
        <v>123</v>
      </c>
      <c r="C63" s="35" t="s">
        <v>124</v>
      </c>
      <c r="D63" s="35"/>
      <c r="E63" s="35"/>
      <c r="F63" s="35"/>
      <c r="G63" s="35"/>
      <c r="H63" s="35"/>
      <c r="I63" s="35"/>
      <c r="J63" s="48" t="n">
        <f aca="false">J39</f>
        <v>294.5</v>
      </c>
    </row>
    <row r="64" customFormat="false" ht="15" hidden="false" customHeight="false" outlineLevel="0" collapsed="false">
      <c r="B64" s="40" t="s">
        <v>125</v>
      </c>
      <c r="C64" s="35" t="s">
        <v>126</v>
      </c>
      <c r="D64" s="35"/>
      <c r="E64" s="35"/>
      <c r="F64" s="35"/>
      <c r="G64" s="35"/>
      <c r="H64" s="35"/>
      <c r="I64" s="35"/>
      <c r="J64" s="48" t="n">
        <f aca="false">J50</f>
        <v>638.85</v>
      </c>
    </row>
    <row r="65" customFormat="false" ht="15" hidden="false" customHeight="false" outlineLevel="0" collapsed="false">
      <c r="B65" s="40" t="s">
        <v>127</v>
      </c>
      <c r="C65" s="35" t="s">
        <v>128</v>
      </c>
      <c r="D65" s="35"/>
      <c r="E65" s="35"/>
      <c r="F65" s="35"/>
      <c r="G65" s="35"/>
      <c r="H65" s="35"/>
      <c r="I65" s="35"/>
      <c r="J65" s="48" t="n">
        <f aca="false">J59</f>
        <v>619.09</v>
      </c>
    </row>
    <row r="66" customFormat="false" ht="15" hidden="false" customHeight="false" outlineLevel="0" collapsed="false">
      <c r="B66" s="40" t="s">
        <v>129</v>
      </c>
      <c r="C66" s="40"/>
      <c r="D66" s="40"/>
      <c r="E66" s="40"/>
      <c r="F66" s="40"/>
      <c r="G66" s="40"/>
      <c r="H66" s="40"/>
      <c r="I66" s="40"/>
      <c r="J66" s="57" t="n">
        <f aca="false">SUM(J63:J65)</f>
        <v>1552.44</v>
      </c>
    </row>
    <row r="67" customFormat="false" ht="15" hidden="false" customHeight="false" outlineLevel="0" collapsed="false">
      <c r="B67" s="64"/>
      <c r="C67" s="64"/>
      <c r="D67" s="64"/>
      <c r="E67" s="64"/>
      <c r="F67" s="64"/>
      <c r="G67" s="64"/>
      <c r="H67" s="64"/>
      <c r="I67" s="64"/>
      <c r="J67" s="64"/>
    </row>
    <row r="68" customFormat="false" ht="15" hidden="false" customHeight="false" outlineLevel="0" collapsed="false">
      <c r="B68" s="44" t="s">
        <v>130</v>
      </c>
      <c r="C68" s="44"/>
      <c r="D68" s="44"/>
      <c r="E68" s="44"/>
      <c r="F68" s="44"/>
      <c r="G68" s="44"/>
      <c r="H68" s="44"/>
      <c r="I68" s="44"/>
      <c r="J68" s="44"/>
    </row>
    <row r="69" customFormat="false" ht="15" hidden="false" customHeight="false" outlineLevel="0" collapsed="false">
      <c r="B69" s="40" t="n">
        <v>3</v>
      </c>
      <c r="C69" s="40" t="s">
        <v>131</v>
      </c>
      <c r="D69" s="40"/>
      <c r="E69" s="40"/>
      <c r="F69" s="40"/>
      <c r="G69" s="40"/>
      <c r="H69" s="40"/>
      <c r="I69" s="40" t="s">
        <v>81</v>
      </c>
      <c r="J69" s="40" t="s">
        <v>82</v>
      </c>
    </row>
    <row r="70" customFormat="false" ht="15" hidden="false" customHeight="false" outlineLevel="0" collapsed="false">
      <c r="B70" s="40" t="s">
        <v>53</v>
      </c>
      <c r="C70" s="35" t="s">
        <v>132</v>
      </c>
      <c r="D70" s="35"/>
      <c r="E70" s="35"/>
      <c r="F70" s="35"/>
      <c r="G70" s="35"/>
      <c r="H70" s="35"/>
      <c r="I70" s="54" t="n">
        <f aca="false">(1/12)*5%</f>
        <v>0.0042</v>
      </c>
      <c r="J70" s="48" t="n">
        <f aca="false">TRUNC(I70*$J$33,2)</f>
        <v>6.05</v>
      </c>
    </row>
    <row r="71" customFormat="false" ht="15" hidden="false" customHeight="false" outlineLevel="0" collapsed="false">
      <c r="B71" s="40" t="s">
        <v>55</v>
      </c>
      <c r="C71" s="35" t="s">
        <v>133</v>
      </c>
      <c r="D71" s="35"/>
      <c r="E71" s="35"/>
      <c r="F71" s="35"/>
      <c r="G71" s="35"/>
      <c r="H71" s="35"/>
      <c r="I71" s="54" t="n">
        <f aca="false">I49*I70</f>
        <v>0.0003</v>
      </c>
      <c r="J71" s="48" t="n">
        <f aca="false">TRUNC(I71*$J$33,2)</f>
        <v>0.43</v>
      </c>
    </row>
    <row r="72" customFormat="false" ht="15" hidden="false" customHeight="false" outlineLevel="0" collapsed="false">
      <c r="B72" s="40" t="s">
        <v>58</v>
      </c>
      <c r="C72" s="35" t="s">
        <v>134</v>
      </c>
      <c r="D72" s="35"/>
      <c r="E72" s="35"/>
      <c r="F72" s="35"/>
      <c r="G72" s="35"/>
      <c r="H72" s="35"/>
      <c r="I72" s="54" t="n">
        <f aca="false">((7/30)/12)</f>
        <v>0.0194</v>
      </c>
      <c r="J72" s="48" t="n">
        <f aca="false">TRUNC(I72*$J$33,2)</f>
        <v>27.96</v>
      </c>
    </row>
    <row r="73" customFormat="false" ht="15" hidden="false" customHeight="false" outlineLevel="0" collapsed="false">
      <c r="B73" s="40" t="s">
        <v>61</v>
      </c>
      <c r="C73" s="35" t="s">
        <v>135</v>
      </c>
      <c r="D73" s="35"/>
      <c r="E73" s="35"/>
      <c r="F73" s="35"/>
      <c r="G73" s="35"/>
      <c r="H73" s="35"/>
      <c r="I73" s="55" t="n">
        <f aca="false">I50*I72</f>
        <v>0.0071</v>
      </c>
      <c r="J73" s="48" t="n">
        <f aca="false">TRUNC(I73*$J$33,2)</f>
        <v>10.23</v>
      </c>
    </row>
    <row r="74" customFormat="false" ht="15" hidden="false" customHeight="false" outlineLevel="0" collapsed="false">
      <c r="B74" s="40" t="s">
        <v>87</v>
      </c>
      <c r="C74" s="35" t="s">
        <v>137</v>
      </c>
      <c r="D74" s="35"/>
      <c r="E74" s="35"/>
      <c r="F74" s="35"/>
      <c r="G74" s="35"/>
      <c r="H74" s="35"/>
      <c r="I74" s="54" t="n">
        <v>0.04</v>
      </c>
      <c r="J74" s="48" t="n">
        <f aca="false">TRUNC(I74*$J$33,2)</f>
        <v>57.66</v>
      </c>
    </row>
    <row r="75" customFormat="false" ht="15" hidden="false" customHeight="false" outlineLevel="0" collapsed="false">
      <c r="B75" s="40" t="s">
        <v>139</v>
      </c>
      <c r="C75" s="40"/>
      <c r="D75" s="40"/>
      <c r="E75" s="40"/>
      <c r="F75" s="40"/>
      <c r="G75" s="40"/>
      <c r="H75" s="40"/>
      <c r="I75" s="56" t="n">
        <f aca="false">SUM(I70:I74)</f>
        <v>0.071</v>
      </c>
      <c r="J75" s="57" t="n">
        <f aca="false">SUM(J70:J74)</f>
        <v>102.33</v>
      </c>
    </row>
    <row r="76" customFormat="false" ht="15" hidden="false" customHeight="false" outlineLevel="0" collapsed="false">
      <c r="B76" s="67"/>
      <c r="C76" s="67"/>
      <c r="D76" s="67"/>
      <c r="E76" s="67"/>
      <c r="F76" s="67"/>
      <c r="G76" s="67"/>
      <c r="H76" s="67"/>
      <c r="I76" s="67"/>
      <c r="J76" s="67"/>
    </row>
    <row r="77" customFormat="false" ht="15" hidden="false" customHeight="false" outlineLevel="0" collapsed="false">
      <c r="B77" s="44" t="s">
        <v>140</v>
      </c>
      <c r="C77" s="44"/>
      <c r="D77" s="44"/>
      <c r="E77" s="44"/>
      <c r="F77" s="44"/>
      <c r="G77" s="44"/>
      <c r="H77" s="44"/>
      <c r="I77" s="44"/>
      <c r="J77" s="44"/>
    </row>
    <row r="78" customFormat="false" ht="15" hidden="false" customHeight="false" outlineLevel="0" collapsed="false">
      <c r="B78" s="40" t="s">
        <v>141</v>
      </c>
      <c r="C78" s="40"/>
      <c r="D78" s="40"/>
      <c r="E78" s="40"/>
      <c r="F78" s="40"/>
      <c r="G78" s="40"/>
      <c r="H78" s="40"/>
      <c r="I78" s="40" t="s">
        <v>81</v>
      </c>
      <c r="J78" s="40" t="s">
        <v>82</v>
      </c>
    </row>
    <row r="79" customFormat="false" ht="15" hidden="false" customHeight="false" outlineLevel="0" collapsed="false">
      <c r="B79" s="40" t="s">
        <v>53</v>
      </c>
      <c r="C79" s="35" t="s">
        <v>142</v>
      </c>
      <c r="D79" s="35"/>
      <c r="E79" s="35"/>
      <c r="F79" s="35"/>
      <c r="G79" s="35"/>
      <c r="H79" s="35"/>
      <c r="I79" s="54" t="n">
        <f aca="false">(1/12/12)+(1/12/12)+(1/12/12/3)</f>
        <v>0.0162</v>
      </c>
      <c r="J79" s="48" t="n">
        <f aca="false">TRUNC(($J$33)*I79,2)</f>
        <v>23.35</v>
      </c>
    </row>
    <row r="80" customFormat="false" ht="15" hidden="false" customHeight="false" outlineLevel="0" collapsed="false">
      <c r="B80" s="40" t="s">
        <v>55</v>
      </c>
      <c r="C80" s="35" t="s">
        <v>143</v>
      </c>
      <c r="D80" s="35"/>
      <c r="E80" s="35"/>
      <c r="F80" s="35"/>
      <c r="G80" s="35"/>
      <c r="H80" s="35"/>
      <c r="I80" s="54" t="n">
        <f aca="false">((1/30))/12</f>
        <v>0.0028</v>
      </c>
      <c r="J80" s="48" t="n">
        <f aca="false">TRUNC(($J$33)*I80,2)</f>
        <v>4.03</v>
      </c>
    </row>
    <row r="81" customFormat="false" ht="15" hidden="false" customHeight="false" outlineLevel="0" collapsed="false">
      <c r="B81" s="40" t="s">
        <v>58</v>
      </c>
      <c r="C81" s="35" t="s">
        <v>145</v>
      </c>
      <c r="D81" s="35"/>
      <c r="E81" s="35"/>
      <c r="F81" s="35"/>
      <c r="G81" s="35"/>
      <c r="H81" s="35"/>
      <c r="I81" s="54" t="n">
        <f aca="false">((5/30)/12)*1.5%</f>
        <v>0.0002</v>
      </c>
      <c r="J81" s="48" t="n">
        <f aca="false">TRUNC(($J$33)*I81,2)</f>
        <v>0.28</v>
      </c>
    </row>
    <row r="82" customFormat="false" ht="15" hidden="false" customHeight="false" outlineLevel="0" collapsed="false">
      <c r="B82" s="40" t="s">
        <v>61</v>
      </c>
      <c r="C82" s="35" t="s">
        <v>146</v>
      </c>
      <c r="D82" s="35"/>
      <c r="E82" s="35"/>
      <c r="F82" s="35"/>
      <c r="G82" s="35"/>
      <c r="H82" s="35"/>
      <c r="I82" s="54" t="n">
        <f aca="false">((15/30)/12)*8%</f>
        <v>0.0033</v>
      </c>
      <c r="J82" s="48" t="n">
        <f aca="false">TRUNC(($J$33)*I82,2)</f>
        <v>4.75</v>
      </c>
    </row>
    <row r="83" customFormat="false" ht="15" hidden="false" customHeight="false" outlineLevel="0" collapsed="false">
      <c r="B83" s="40" t="s">
        <v>87</v>
      </c>
      <c r="C83" s="35" t="s">
        <v>147</v>
      </c>
      <c r="D83" s="35"/>
      <c r="E83" s="35"/>
      <c r="F83" s="35"/>
      <c r="G83" s="35"/>
      <c r="H83" s="35"/>
      <c r="I83" s="54" t="n">
        <f aca="false">(((4*8.33%)+(4*2.78%))/12)*2%</f>
        <v>0.0007</v>
      </c>
      <c r="J83" s="48" t="n">
        <f aca="false">TRUNC(($J$33)*I83,2)</f>
        <v>1</v>
      </c>
    </row>
    <row r="84" customFormat="false" ht="15" hidden="false" customHeight="false" outlineLevel="0" collapsed="false">
      <c r="B84" s="40" t="s">
        <v>89</v>
      </c>
      <c r="C84" s="35" t="s">
        <v>148</v>
      </c>
      <c r="D84" s="35"/>
      <c r="E84" s="35"/>
      <c r="F84" s="35"/>
      <c r="G84" s="35"/>
      <c r="H84" s="35"/>
      <c r="I84" s="54" t="n">
        <v>0</v>
      </c>
      <c r="J84" s="48" t="n">
        <f aca="false">TRUNC(($J$33)*I84,2)</f>
        <v>0</v>
      </c>
    </row>
    <row r="85" customFormat="false" ht="15" hidden="false" customHeight="false" outlineLevel="0" collapsed="false">
      <c r="B85" s="40" t="s">
        <v>149</v>
      </c>
      <c r="C85" s="40"/>
      <c r="D85" s="40"/>
      <c r="E85" s="40"/>
      <c r="F85" s="40"/>
      <c r="G85" s="40"/>
      <c r="H85" s="40"/>
      <c r="I85" s="56" t="n">
        <f aca="false">SUM(I79:I84)</f>
        <v>0.0232</v>
      </c>
      <c r="J85" s="57" t="n">
        <f aca="false">SUM(J79:J84)</f>
        <v>33.41</v>
      </c>
    </row>
    <row r="86" customFormat="false" ht="15" hidden="false" customHeight="false" outlineLevel="0" collapsed="false">
      <c r="B86" s="69"/>
      <c r="C86" s="69"/>
      <c r="D86" s="69"/>
      <c r="E86" s="69"/>
      <c r="F86" s="69"/>
      <c r="G86" s="69"/>
      <c r="H86" s="69"/>
      <c r="I86" s="69"/>
      <c r="J86" s="69"/>
    </row>
    <row r="87" customFormat="false" ht="15" hidden="false" customHeight="false" outlineLevel="0" collapsed="false">
      <c r="B87" s="40" t="s">
        <v>150</v>
      </c>
      <c r="C87" s="40"/>
      <c r="D87" s="40"/>
      <c r="E87" s="40"/>
      <c r="F87" s="40"/>
      <c r="G87" s="40"/>
      <c r="H87" s="40"/>
      <c r="I87" s="40" t="s">
        <v>81</v>
      </c>
      <c r="J87" s="40" t="s">
        <v>82</v>
      </c>
    </row>
    <row r="88" customFormat="false" ht="15" hidden="false" customHeight="true" outlineLevel="0" collapsed="false">
      <c r="B88" s="40" t="s">
        <v>53</v>
      </c>
      <c r="C88" s="66" t="s">
        <v>151</v>
      </c>
      <c r="D88" s="66"/>
      <c r="E88" s="66"/>
      <c r="F88" s="66"/>
      <c r="G88" s="66"/>
      <c r="H88" s="66"/>
      <c r="I88" s="54" t="n">
        <v>0</v>
      </c>
      <c r="J88" s="48" t="n">
        <v>0</v>
      </c>
    </row>
    <row r="89" customFormat="false" ht="15" hidden="false" customHeight="false" outlineLevel="0" collapsed="false">
      <c r="B89" s="40" t="s">
        <v>152</v>
      </c>
      <c r="C89" s="40"/>
      <c r="D89" s="40"/>
      <c r="E89" s="40"/>
      <c r="F89" s="40"/>
      <c r="G89" s="40"/>
      <c r="H89" s="40"/>
      <c r="I89" s="56" t="n">
        <v>0</v>
      </c>
      <c r="J89" s="57" t="n">
        <v>0</v>
      </c>
    </row>
    <row r="90" customFormat="false" ht="15" hidden="false" customHeight="false" outlineLevel="0" collapsed="false">
      <c r="B90" s="70"/>
      <c r="C90" s="70"/>
      <c r="D90" s="70"/>
      <c r="E90" s="70"/>
      <c r="F90" s="70"/>
      <c r="G90" s="70"/>
      <c r="H90" s="70"/>
      <c r="I90" s="70"/>
      <c r="J90" s="70"/>
    </row>
    <row r="91" customFormat="false" ht="15" hidden="false" customHeight="false" outlineLevel="0" collapsed="false">
      <c r="B91" s="33" t="s">
        <v>153</v>
      </c>
      <c r="C91" s="33"/>
      <c r="D91" s="33"/>
      <c r="E91" s="33"/>
      <c r="F91" s="33"/>
      <c r="G91" s="33"/>
      <c r="H91" s="33"/>
      <c r="I91" s="33"/>
      <c r="J91" s="33"/>
    </row>
    <row r="92" customFormat="false" ht="15" hidden="false" customHeight="false" outlineLevel="0" collapsed="false">
      <c r="B92" s="40" t="s">
        <v>154</v>
      </c>
      <c r="C92" s="40"/>
      <c r="D92" s="40"/>
      <c r="E92" s="40"/>
      <c r="F92" s="40"/>
      <c r="G92" s="40"/>
      <c r="H92" s="40"/>
      <c r="I92" s="40"/>
      <c r="J92" s="40" t="s">
        <v>82</v>
      </c>
    </row>
    <row r="93" customFormat="false" ht="15" hidden="false" customHeight="false" outlineLevel="0" collapsed="false">
      <c r="B93" s="40" t="s">
        <v>155</v>
      </c>
      <c r="C93" s="35" t="s">
        <v>156</v>
      </c>
      <c r="D93" s="35"/>
      <c r="E93" s="35"/>
      <c r="F93" s="35"/>
      <c r="G93" s="35"/>
      <c r="H93" s="35"/>
      <c r="I93" s="35"/>
      <c r="J93" s="48" t="n">
        <f aca="false">J85</f>
        <v>33.41</v>
      </c>
    </row>
    <row r="94" customFormat="false" ht="15" hidden="false" customHeight="false" outlineLevel="0" collapsed="false">
      <c r="B94" s="40" t="s">
        <v>157</v>
      </c>
      <c r="C94" s="35" t="s">
        <v>158</v>
      </c>
      <c r="D94" s="35"/>
      <c r="E94" s="35"/>
      <c r="F94" s="35"/>
      <c r="G94" s="35"/>
      <c r="H94" s="35"/>
      <c r="I94" s="35"/>
      <c r="J94" s="48" t="n">
        <f aca="false">J89</f>
        <v>0</v>
      </c>
    </row>
    <row r="95" customFormat="false" ht="15" hidden="false" customHeight="false" outlineLevel="0" collapsed="false">
      <c r="B95" s="40" t="s">
        <v>159</v>
      </c>
      <c r="C95" s="40"/>
      <c r="D95" s="40"/>
      <c r="E95" s="40"/>
      <c r="F95" s="40"/>
      <c r="G95" s="40"/>
      <c r="H95" s="40"/>
      <c r="I95" s="40"/>
      <c r="J95" s="57" t="n">
        <f aca="false">SUM(J93:J94)</f>
        <v>33.41</v>
      </c>
    </row>
    <row r="96" customFormat="false" ht="15" hidden="false" customHeight="false" outlineLevel="0" collapsed="false">
      <c r="B96" s="64"/>
      <c r="C96" s="64"/>
      <c r="D96" s="64"/>
      <c r="E96" s="64"/>
      <c r="F96" s="64"/>
      <c r="G96" s="64"/>
      <c r="H96" s="64"/>
      <c r="I96" s="64"/>
      <c r="J96" s="64"/>
    </row>
    <row r="97" customFormat="false" ht="15" hidden="false" customHeight="false" outlineLevel="0" collapsed="false">
      <c r="B97" s="44" t="s">
        <v>160</v>
      </c>
      <c r="C97" s="44"/>
      <c r="D97" s="44"/>
      <c r="E97" s="44"/>
      <c r="F97" s="44"/>
      <c r="G97" s="44"/>
      <c r="H97" s="44"/>
      <c r="I97" s="44"/>
      <c r="J97" s="44"/>
    </row>
    <row r="98" customFormat="false" ht="15" hidden="false" customHeight="false" outlineLevel="0" collapsed="false">
      <c r="B98" s="40" t="n">
        <v>5</v>
      </c>
      <c r="C98" s="40" t="s">
        <v>161</v>
      </c>
      <c r="D98" s="40"/>
      <c r="E98" s="40"/>
      <c r="F98" s="40"/>
      <c r="G98" s="40"/>
      <c r="H98" s="40"/>
      <c r="I98" s="40"/>
      <c r="J98" s="40" t="s">
        <v>82</v>
      </c>
    </row>
    <row r="99" customFormat="false" ht="15" hidden="false" customHeight="false" outlineLevel="0" collapsed="false">
      <c r="B99" s="40" t="s">
        <v>53</v>
      </c>
      <c r="C99" s="45" t="s">
        <v>162</v>
      </c>
      <c r="D99" s="45"/>
      <c r="E99" s="45"/>
      <c r="F99" s="45"/>
      <c r="G99" s="45"/>
      <c r="H99" s="45"/>
      <c r="I99" s="54" t="n">
        <v>0.0145</v>
      </c>
      <c r="J99" s="48" t="n">
        <f aca="false">($J$33+$J$66+$J$75+$J$95)*I99</f>
        <v>45.38</v>
      </c>
    </row>
    <row r="100" customFormat="false" ht="15" hidden="false" customHeight="false" outlineLevel="0" collapsed="false">
      <c r="B100" s="40" t="s">
        <v>55</v>
      </c>
      <c r="C100" s="45" t="s">
        <v>165</v>
      </c>
      <c r="D100" s="45"/>
      <c r="E100" s="45"/>
      <c r="F100" s="45"/>
      <c r="G100" s="45"/>
      <c r="H100" s="45"/>
      <c r="I100" s="54" t="n">
        <v>0.12</v>
      </c>
      <c r="J100" s="48" t="n">
        <f aca="false">(($J$33+$J$66+$J$75+$J$95+J99)*I100)*(1-9.25%)</f>
        <v>345.77</v>
      </c>
    </row>
    <row r="101" customFormat="false" ht="15" hidden="false" customHeight="false" outlineLevel="0" collapsed="false">
      <c r="B101" s="73" t="s">
        <v>58</v>
      </c>
      <c r="C101" s="45" t="s">
        <v>168</v>
      </c>
      <c r="D101" s="45"/>
      <c r="E101" s="45"/>
      <c r="F101" s="45"/>
      <c r="G101" s="45"/>
      <c r="H101" s="45"/>
      <c r="I101" s="34" t="s">
        <v>114</v>
      </c>
      <c r="J101" s="48" t="n">
        <v>0</v>
      </c>
    </row>
    <row r="102" customFormat="false" ht="15" hidden="false" customHeight="false" outlineLevel="0" collapsed="false">
      <c r="B102" s="73" t="s">
        <v>61</v>
      </c>
      <c r="C102" s="45" t="s">
        <v>119</v>
      </c>
      <c r="D102" s="45"/>
      <c r="E102" s="45"/>
      <c r="F102" s="45"/>
      <c r="G102" s="45"/>
      <c r="H102" s="45"/>
      <c r="I102" s="34" t="s">
        <v>114</v>
      </c>
      <c r="J102" s="48" t="n">
        <v>0</v>
      </c>
    </row>
    <row r="103" customFormat="false" ht="15" hidden="false" customHeight="false" outlineLevel="0" collapsed="false">
      <c r="B103" s="40" t="s">
        <v>169</v>
      </c>
      <c r="C103" s="40"/>
      <c r="D103" s="40"/>
      <c r="E103" s="40"/>
      <c r="F103" s="40"/>
      <c r="G103" s="40"/>
      <c r="H103" s="40"/>
      <c r="I103" s="56" t="s">
        <v>114</v>
      </c>
      <c r="J103" s="57" t="n">
        <f aca="false">SUM(J99:J102)</f>
        <v>391.15</v>
      </c>
    </row>
    <row r="104" customFormat="false" ht="15" hidden="false" customHeight="false" outlineLevel="0" collapsed="false">
      <c r="B104" s="64"/>
      <c r="C104" s="64"/>
      <c r="D104" s="64"/>
      <c r="E104" s="64"/>
      <c r="F104" s="64"/>
      <c r="G104" s="64"/>
      <c r="H104" s="64"/>
      <c r="I104" s="64"/>
      <c r="J104" s="64"/>
    </row>
    <row r="105" customFormat="false" ht="15" hidden="false" customHeight="false" outlineLevel="0" collapsed="false">
      <c r="B105" s="44" t="s">
        <v>170</v>
      </c>
      <c r="C105" s="44"/>
      <c r="D105" s="44"/>
      <c r="E105" s="44"/>
      <c r="F105" s="44"/>
      <c r="G105" s="44"/>
      <c r="H105" s="44"/>
      <c r="I105" s="44"/>
      <c r="J105" s="44"/>
    </row>
    <row r="106" customFormat="false" ht="15" hidden="false" customHeight="false" outlineLevel="0" collapsed="false">
      <c r="B106" s="40" t="n">
        <v>6</v>
      </c>
      <c r="C106" s="40" t="s">
        <v>171</v>
      </c>
      <c r="D106" s="40"/>
      <c r="E106" s="40"/>
      <c r="F106" s="40"/>
      <c r="G106" s="40"/>
      <c r="H106" s="40"/>
      <c r="I106" s="40" t="s">
        <v>81</v>
      </c>
      <c r="J106" s="40" t="s">
        <v>82</v>
      </c>
    </row>
    <row r="107" customFormat="false" ht="15" hidden="false" customHeight="false" outlineLevel="0" collapsed="false">
      <c r="B107" s="40" t="s">
        <v>53</v>
      </c>
      <c r="C107" s="35" t="s">
        <v>172</v>
      </c>
      <c r="D107" s="35"/>
      <c r="E107" s="35"/>
      <c r="F107" s="35"/>
      <c r="G107" s="35"/>
      <c r="H107" s="35"/>
      <c r="I107" s="74" t="n">
        <v>0.03</v>
      </c>
      <c r="J107" s="48" t="n">
        <f aca="false">TRUNC(((J131)*I107),2)</f>
        <v>105.62</v>
      </c>
    </row>
    <row r="108" customFormat="false" ht="15" hidden="false" customHeight="false" outlineLevel="0" collapsed="false">
      <c r="B108" s="40" t="s">
        <v>55</v>
      </c>
      <c r="C108" s="35" t="s">
        <v>173</v>
      </c>
      <c r="D108" s="35"/>
      <c r="E108" s="35"/>
      <c r="F108" s="35"/>
      <c r="G108" s="35"/>
      <c r="H108" s="35"/>
      <c r="I108" s="74" t="n">
        <v>0.06</v>
      </c>
      <c r="J108" s="48" t="n">
        <f aca="false">TRUNC(((J131+J107)*I108),2)</f>
        <v>217.59</v>
      </c>
    </row>
    <row r="109" customFormat="false" ht="15" hidden="false" customHeight="false" outlineLevel="0" collapsed="false">
      <c r="B109" s="40" t="s">
        <v>58</v>
      </c>
      <c r="C109" s="63" t="s">
        <v>174</v>
      </c>
      <c r="D109" s="63"/>
      <c r="E109" s="63"/>
      <c r="F109" s="63"/>
      <c r="G109" s="63"/>
      <c r="H109" s="63"/>
      <c r="I109" s="47"/>
      <c r="J109" s="75"/>
    </row>
    <row r="110" customFormat="false" ht="15" hidden="false" customHeight="false" outlineLevel="0" collapsed="false">
      <c r="B110" s="40" t="s">
        <v>175</v>
      </c>
      <c r="C110" s="35" t="s">
        <v>176</v>
      </c>
      <c r="D110" s="35"/>
      <c r="E110" s="35"/>
      <c r="F110" s="35"/>
      <c r="G110" s="35"/>
      <c r="H110" s="35"/>
      <c r="I110" s="76" t="n">
        <v>0.0165</v>
      </c>
      <c r="J110" s="48" t="n">
        <f aca="false">TRUNC(I110*((J131+J107+J108)/(1-I115)),2)</f>
        <v>71.46</v>
      </c>
    </row>
    <row r="111" customFormat="false" ht="15" hidden="false" customHeight="false" outlineLevel="0" collapsed="false">
      <c r="B111" s="40" t="s">
        <v>177</v>
      </c>
      <c r="C111" s="35" t="s">
        <v>178</v>
      </c>
      <c r="D111" s="35"/>
      <c r="E111" s="35"/>
      <c r="F111" s="35"/>
      <c r="G111" s="35"/>
      <c r="H111" s="35"/>
      <c r="I111" s="76" t="n">
        <v>0.076</v>
      </c>
      <c r="J111" s="48" t="n">
        <f aca="false">TRUNC(I111*(J131+J107+J108)/(1-I115),2)</f>
        <v>329.18</v>
      </c>
    </row>
    <row r="112" customFormat="false" ht="15" hidden="false" customHeight="false" outlineLevel="0" collapsed="false">
      <c r="B112" s="40" t="s">
        <v>179</v>
      </c>
      <c r="C112" s="35" t="s">
        <v>180</v>
      </c>
      <c r="D112" s="35"/>
      <c r="E112" s="35"/>
      <c r="F112" s="35"/>
      <c r="G112" s="35"/>
      <c r="H112" s="35"/>
      <c r="I112" s="76" t="n">
        <v>0.02</v>
      </c>
      <c r="J112" s="48" t="n">
        <f aca="false">TRUNC(I112*(J131+J107+J108)/(1-I115),2)</f>
        <v>86.62</v>
      </c>
    </row>
    <row r="113" customFormat="false" ht="15" hidden="false" customHeight="false" outlineLevel="0" collapsed="false">
      <c r="B113" s="40" t="s">
        <v>182</v>
      </c>
      <c r="C113" s="40"/>
      <c r="D113" s="40"/>
      <c r="E113" s="40"/>
      <c r="F113" s="40"/>
      <c r="G113" s="40"/>
      <c r="H113" s="40"/>
      <c r="I113" s="76" t="n">
        <f aca="false">SUM(I107:I112)</f>
        <v>0.2025</v>
      </c>
      <c r="J113" s="57" t="n">
        <f aca="false">SUM(J107:J112)</f>
        <v>810.47</v>
      </c>
    </row>
    <row r="114" customFormat="false" ht="15" hidden="false" customHeight="false" outlineLevel="0" collapsed="false">
      <c r="B114" s="106"/>
      <c r="C114" s="109"/>
      <c r="D114" s="109"/>
      <c r="E114" s="109"/>
      <c r="F114" s="109"/>
      <c r="G114" s="109"/>
      <c r="H114" s="109"/>
      <c r="I114" s="109"/>
      <c r="J114" s="109"/>
    </row>
    <row r="115" customFormat="false" ht="15" hidden="false" customHeight="false" outlineLevel="0" collapsed="false">
      <c r="B115" s="78" t="s">
        <v>183</v>
      </c>
      <c r="C115" s="79" t="s">
        <v>184</v>
      </c>
      <c r="D115" s="79"/>
      <c r="E115" s="79"/>
      <c r="F115" s="79"/>
      <c r="G115" s="79"/>
      <c r="H115" s="79"/>
      <c r="I115" s="80" t="n">
        <f aca="false">I110+I111+I112</f>
        <v>0.1125</v>
      </c>
      <c r="J115" s="81"/>
    </row>
    <row r="116" customFormat="false" ht="15" hidden="false" customHeight="false" outlineLevel="0" collapsed="false">
      <c r="B116" s="82"/>
      <c r="C116" s="83" t="n">
        <v>100</v>
      </c>
      <c r="D116" s="83"/>
      <c r="E116" s="83"/>
      <c r="F116" s="83"/>
      <c r="G116" s="83"/>
      <c r="H116" s="83"/>
      <c r="I116" s="84"/>
      <c r="J116" s="85"/>
    </row>
    <row r="117" customFormat="false" ht="15" hidden="false" customHeight="false" outlineLevel="0" collapsed="false">
      <c r="B117" s="86"/>
      <c r="C117" s="83"/>
      <c r="D117" s="83"/>
      <c r="E117" s="83"/>
      <c r="F117" s="83"/>
      <c r="G117" s="83"/>
      <c r="H117" s="83"/>
      <c r="I117" s="84"/>
      <c r="J117" s="85"/>
    </row>
    <row r="118" customFormat="false" ht="15" hidden="false" customHeight="false" outlineLevel="0" collapsed="false">
      <c r="B118" s="82" t="s">
        <v>185</v>
      </c>
      <c r="C118" s="83" t="s">
        <v>186</v>
      </c>
      <c r="D118" s="83"/>
      <c r="E118" s="83"/>
      <c r="F118" s="83"/>
      <c r="G118" s="83"/>
      <c r="H118" s="83"/>
      <c r="I118" s="84"/>
      <c r="J118" s="85" t="n">
        <f aca="false">J33+J66+J75+J95+J103+J107+J108</f>
        <v>3844.1</v>
      </c>
    </row>
    <row r="119" customFormat="false" ht="15" hidden="false" customHeight="false" outlineLevel="0" collapsed="false">
      <c r="B119" s="82"/>
      <c r="C119" s="83"/>
      <c r="D119" s="83"/>
      <c r="E119" s="83"/>
      <c r="F119" s="83"/>
      <c r="G119" s="83"/>
      <c r="H119" s="83"/>
      <c r="I119" s="84"/>
      <c r="J119" s="85"/>
    </row>
    <row r="120" customFormat="false" ht="15" hidden="false" customHeight="false" outlineLevel="0" collapsed="false">
      <c r="B120" s="82" t="s">
        <v>187</v>
      </c>
      <c r="C120" s="83" t="s">
        <v>188</v>
      </c>
      <c r="D120" s="83"/>
      <c r="E120" s="83"/>
      <c r="F120" s="83"/>
      <c r="G120" s="83"/>
      <c r="H120" s="83"/>
      <c r="I120" s="84"/>
      <c r="J120" s="85" t="n">
        <f aca="false">TRUNC(J118/(1-I115),2)</f>
        <v>4331.38</v>
      </c>
    </row>
    <row r="121" customFormat="false" ht="15" hidden="false" customHeight="false" outlineLevel="0" collapsed="false">
      <c r="B121" s="82"/>
      <c r="C121" s="83"/>
      <c r="D121" s="83"/>
      <c r="E121" s="83"/>
      <c r="F121" s="83"/>
      <c r="G121" s="83"/>
      <c r="H121" s="83"/>
      <c r="I121" s="84"/>
      <c r="J121" s="85"/>
    </row>
    <row r="122" customFormat="false" ht="15" hidden="false" customHeight="false" outlineLevel="0" collapsed="false">
      <c r="B122" s="87"/>
      <c r="C122" s="88" t="s">
        <v>189</v>
      </c>
      <c r="D122" s="88"/>
      <c r="E122" s="88"/>
      <c r="F122" s="88"/>
      <c r="G122" s="88"/>
      <c r="H122" s="88"/>
      <c r="I122" s="89"/>
      <c r="J122" s="90" t="n">
        <f aca="false">J120-J118</f>
        <v>487.28</v>
      </c>
    </row>
    <row r="123" customFormat="false" ht="15" hidden="false" customHeight="false" outlineLevel="0" collapsed="false">
      <c r="B123" s="106"/>
      <c r="C123" s="106"/>
      <c r="D123" s="106"/>
      <c r="E123" s="106"/>
      <c r="F123" s="106"/>
      <c r="G123" s="106"/>
      <c r="H123" s="106"/>
      <c r="I123" s="106"/>
      <c r="J123" s="52"/>
    </row>
    <row r="124" customFormat="false" ht="15" hidden="false" customHeight="false" outlineLevel="0" collapsed="false">
      <c r="B124" s="33" t="s">
        <v>190</v>
      </c>
      <c r="C124" s="33"/>
      <c r="D124" s="33"/>
      <c r="E124" s="33"/>
      <c r="F124" s="33"/>
      <c r="G124" s="33"/>
      <c r="H124" s="33"/>
      <c r="I124" s="33"/>
      <c r="J124" s="33"/>
    </row>
    <row r="125" customFormat="false" ht="15" hidden="false" customHeight="false" outlineLevel="0" collapsed="false">
      <c r="B125" s="40" t="s">
        <v>191</v>
      </c>
      <c r="C125" s="40"/>
      <c r="D125" s="40"/>
      <c r="E125" s="40"/>
      <c r="F125" s="40"/>
      <c r="G125" s="40"/>
      <c r="H125" s="40"/>
      <c r="I125" s="40"/>
      <c r="J125" s="40" t="s">
        <v>82</v>
      </c>
    </row>
    <row r="126" customFormat="false" ht="15" hidden="false" customHeight="false" outlineLevel="0" collapsed="false">
      <c r="B126" s="34" t="s">
        <v>53</v>
      </c>
      <c r="C126" s="35" t="s">
        <v>79</v>
      </c>
      <c r="D126" s="35"/>
      <c r="E126" s="35"/>
      <c r="F126" s="35"/>
      <c r="G126" s="35"/>
      <c r="H126" s="35"/>
      <c r="I126" s="35"/>
      <c r="J126" s="48" t="n">
        <f aca="false">J33</f>
        <v>1441.56</v>
      </c>
    </row>
    <row r="127" customFormat="false" ht="15" hidden="false" customHeight="false" outlineLevel="0" collapsed="false">
      <c r="B127" s="34" t="s">
        <v>55</v>
      </c>
      <c r="C127" s="35" t="s">
        <v>92</v>
      </c>
      <c r="D127" s="35"/>
      <c r="E127" s="35"/>
      <c r="F127" s="35"/>
      <c r="G127" s="35"/>
      <c r="H127" s="35"/>
      <c r="I127" s="35"/>
      <c r="J127" s="48" t="n">
        <f aca="false">J66</f>
        <v>1552.44</v>
      </c>
    </row>
    <row r="128" customFormat="false" ht="15" hidden="false" customHeight="false" outlineLevel="0" collapsed="false">
      <c r="B128" s="34" t="s">
        <v>58</v>
      </c>
      <c r="C128" s="35" t="s">
        <v>130</v>
      </c>
      <c r="D128" s="35"/>
      <c r="E128" s="35"/>
      <c r="F128" s="35"/>
      <c r="G128" s="35"/>
      <c r="H128" s="35"/>
      <c r="I128" s="35"/>
      <c r="J128" s="48" t="n">
        <f aca="false">J75</f>
        <v>102.33</v>
      </c>
    </row>
    <row r="129" customFormat="false" ht="15" hidden="false" customHeight="false" outlineLevel="0" collapsed="false">
      <c r="B129" s="34" t="s">
        <v>61</v>
      </c>
      <c r="C129" s="35" t="s">
        <v>140</v>
      </c>
      <c r="D129" s="35"/>
      <c r="E129" s="35"/>
      <c r="F129" s="35"/>
      <c r="G129" s="35"/>
      <c r="H129" s="35"/>
      <c r="I129" s="35"/>
      <c r="J129" s="48" t="n">
        <f aca="false">J95</f>
        <v>33.41</v>
      </c>
    </row>
    <row r="130" customFormat="false" ht="15" hidden="false" customHeight="false" outlineLevel="0" collapsed="false">
      <c r="B130" s="34" t="s">
        <v>87</v>
      </c>
      <c r="C130" s="35" t="s">
        <v>160</v>
      </c>
      <c r="D130" s="35"/>
      <c r="E130" s="35"/>
      <c r="F130" s="35"/>
      <c r="G130" s="35"/>
      <c r="H130" s="35"/>
      <c r="I130" s="35"/>
      <c r="J130" s="48" t="n">
        <f aca="false">J103</f>
        <v>391.15</v>
      </c>
    </row>
    <row r="131" customFormat="false" ht="15" hidden="false" customHeight="false" outlineLevel="0" collapsed="false">
      <c r="B131" s="40"/>
      <c r="C131" s="40" t="s">
        <v>196</v>
      </c>
      <c r="D131" s="40"/>
      <c r="E131" s="40"/>
      <c r="F131" s="40"/>
      <c r="G131" s="40"/>
      <c r="H131" s="40"/>
      <c r="I131" s="40"/>
      <c r="J131" s="57" t="n">
        <f aca="false">SUM(J126:J130)</f>
        <v>3520.89</v>
      </c>
    </row>
    <row r="132" customFormat="false" ht="15" hidden="false" customHeight="false" outlineLevel="0" collapsed="false">
      <c r="B132" s="34" t="s">
        <v>89</v>
      </c>
      <c r="C132" s="35" t="s">
        <v>170</v>
      </c>
      <c r="D132" s="35"/>
      <c r="E132" s="35"/>
      <c r="F132" s="35"/>
      <c r="G132" s="35"/>
      <c r="H132" s="35"/>
      <c r="I132" s="35"/>
      <c r="J132" s="48" t="n">
        <f aca="false">J113</f>
        <v>810.47</v>
      </c>
    </row>
    <row r="133" customFormat="false" ht="18" hidden="false" customHeight="false" outlineLevel="0" collapsed="false">
      <c r="B133" s="91" t="s">
        <v>198</v>
      </c>
      <c r="C133" s="91"/>
      <c r="D133" s="91"/>
      <c r="E133" s="91"/>
      <c r="F133" s="91"/>
      <c r="G133" s="91"/>
      <c r="H133" s="91"/>
      <c r="I133" s="91"/>
      <c r="J133" s="92" t="n">
        <f aca="false">TRUNC(J131+J132,2)</f>
        <v>4331.36</v>
      </c>
    </row>
    <row r="134" customFormat="false" ht="15" hidden="false" customHeight="false" outlineLevel="0" collapsed="false">
      <c r="B134" s="93"/>
      <c r="C134" s="93"/>
      <c r="D134" s="93"/>
      <c r="E134" s="93"/>
      <c r="F134" s="93"/>
      <c r="G134" s="93"/>
      <c r="H134" s="93"/>
      <c r="I134" s="93"/>
      <c r="J134" s="111"/>
    </row>
    <row r="135" customFormat="false" ht="15" hidden="false" customHeight="false" outlineLevel="0" collapsed="false">
      <c r="B135" s="93"/>
      <c r="C135" s="93"/>
      <c r="D135" s="93"/>
      <c r="E135" s="93"/>
      <c r="F135" s="93"/>
      <c r="G135" s="93"/>
      <c r="H135" s="93"/>
      <c r="I135" s="93"/>
      <c r="J135" s="93"/>
    </row>
    <row r="136" customFormat="false" ht="15" hidden="false" customHeight="false" outlineLevel="0" collapsed="false">
      <c r="B136" s="96"/>
      <c r="C136" s="97"/>
      <c r="D136" s="93"/>
      <c r="E136" s="93"/>
      <c r="F136" s="93"/>
      <c r="G136" s="93"/>
      <c r="H136" s="93"/>
      <c r="I136" s="93"/>
      <c r="J136" s="93"/>
    </row>
    <row r="137" customFormat="false" ht="15" hidden="false" customHeight="false" outlineLevel="0" collapsed="false">
      <c r="B137" s="100"/>
      <c r="C137" s="100"/>
      <c r="D137" s="101"/>
    </row>
    <row r="138" customFormat="false" ht="15" hidden="false" customHeight="false" outlineLevel="0" collapsed="false">
      <c r="B138" s="103"/>
      <c r="C138" s="93"/>
      <c r="D138" s="93"/>
    </row>
    <row r="139" customFormat="false" ht="15" hidden="false" customHeight="false" outlineLevel="0" collapsed="false">
      <c r="B139" s="103"/>
      <c r="C139" s="93"/>
      <c r="D139" s="93"/>
    </row>
  </sheetData>
  <mergeCells count="139">
    <mergeCell ref="B1:J1"/>
    <mergeCell ref="B2:J2"/>
    <mergeCell ref="B3:J3"/>
    <mergeCell ref="B4:J4"/>
    <mergeCell ref="B5:J5"/>
    <mergeCell ref="B6:J6"/>
    <mergeCell ref="B7:J7"/>
    <mergeCell ref="B8:J8"/>
    <mergeCell ref="C9:H9"/>
    <mergeCell ref="I9:J9"/>
    <mergeCell ref="C10:H10"/>
    <mergeCell ref="I10:J10"/>
    <mergeCell ref="C11:H11"/>
    <mergeCell ref="I11:J11"/>
    <mergeCell ref="C12:H12"/>
    <mergeCell ref="I12:J12"/>
    <mergeCell ref="B14:J14"/>
    <mergeCell ref="B15:C15"/>
    <mergeCell ref="D15:E15"/>
    <mergeCell ref="F15:J15"/>
    <mergeCell ref="B16:C16"/>
    <mergeCell ref="D16:E16"/>
    <mergeCell ref="F16:J16"/>
    <mergeCell ref="B18:J18"/>
    <mergeCell ref="C19:H19"/>
    <mergeCell ref="I19:J19"/>
    <mergeCell ref="C20:H20"/>
    <mergeCell ref="I20:J20"/>
    <mergeCell ref="C21:H21"/>
    <mergeCell ref="I21:J21"/>
    <mergeCell ref="C22:H22"/>
    <mergeCell ref="I22:J22"/>
    <mergeCell ref="C23:H23"/>
    <mergeCell ref="I23:J23"/>
    <mergeCell ref="B24:J24"/>
    <mergeCell ref="B25:J25"/>
    <mergeCell ref="C26:H26"/>
    <mergeCell ref="C27:H27"/>
    <mergeCell ref="C28:H28"/>
    <mergeCell ref="C29:H29"/>
    <mergeCell ref="C30:H30"/>
    <mergeCell ref="C31:H31"/>
    <mergeCell ref="C32:H32"/>
    <mergeCell ref="B33:I33"/>
    <mergeCell ref="B35:J35"/>
    <mergeCell ref="B36:H36"/>
    <mergeCell ref="C37:H37"/>
    <mergeCell ref="C38:H38"/>
    <mergeCell ref="B39:H39"/>
    <mergeCell ref="B40:J40"/>
    <mergeCell ref="B41:H41"/>
    <mergeCell ref="C42:H42"/>
    <mergeCell ref="C43:H43"/>
    <mergeCell ref="C44:H44"/>
    <mergeCell ref="C45:H45"/>
    <mergeCell ref="C46:H46"/>
    <mergeCell ref="C47:H47"/>
    <mergeCell ref="C48:H48"/>
    <mergeCell ref="C49:H49"/>
    <mergeCell ref="B50:H50"/>
    <mergeCell ref="B51:J51"/>
    <mergeCell ref="B52:H52"/>
    <mergeCell ref="C53:H53"/>
    <mergeCell ref="C54:H54"/>
    <mergeCell ref="C55:H55"/>
    <mergeCell ref="C56:H56"/>
    <mergeCell ref="C57:H57"/>
    <mergeCell ref="C58:H58"/>
    <mergeCell ref="B59:I59"/>
    <mergeCell ref="B60:J60"/>
    <mergeCell ref="B61:J61"/>
    <mergeCell ref="B62:I62"/>
    <mergeCell ref="C63:I63"/>
    <mergeCell ref="C64:I64"/>
    <mergeCell ref="C65:I65"/>
    <mergeCell ref="B66:I66"/>
    <mergeCell ref="B67:J67"/>
    <mergeCell ref="B68:J68"/>
    <mergeCell ref="C69:H69"/>
    <mergeCell ref="C70:H70"/>
    <mergeCell ref="C71:H71"/>
    <mergeCell ref="C72:H72"/>
    <mergeCell ref="C73:H73"/>
    <mergeCell ref="C74:H74"/>
    <mergeCell ref="B75:H75"/>
    <mergeCell ref="B76:J76"/>
    <mergeCell ref="B77:J77"/>
    <mergeCell ref="B78:H78"/>
    <mergeCell ref="C79:H79"/>
    <mergeCell ref="C80:H80"/>
    <mergeCell ref="C81:H81"/>
    <mergeCell ref="C82:H82"/>
    <mergeCell ref="C83:H83"/>
    <mergeCell ref="C84:H84"/>
    <mergeCell ref="B85:H85"/>
    <mergeCell ref="B86:J86"/>
    <mergeCell ref="B87:H87"/>
    <mergeCell ref="C88:H88"/>
    <mergeCell ref="B89:H89"/>
    <mergeCell ref="B90:J90"/>
    <mergeCell ref="B91:J91"/>
    <mergeCell ref="B92:I92"/>
    <mergeCell ref="C93:I93"/>
    <mergeCell ref="C94:I94"/>
    <mergeCell ref="B95:I95"/>
    <mergeCell ref="B96:J96"/>
    <mergeCell ref="B97:J97"/>
    <mergeCell ref="C98:H98"/>
    <mergeCell ref="C99:H99"/>
    <mergeCell ref="C100:H100"/>
    <mergeCell ref="C101:H101"/>
    <mergeCell ref="C102:H102"/>
    <mergeCell ref="B103:H103"/>
    <mergeCell ref="B104:J104"/>
    <mergeCell ref="B105:J105"/>
    <mergeCell ref="C106:H106"/>
    <mergeCell ref="C107:H107"/>
    <mergeCell ref="C108:H108"/>
    <mergeCell ref="C109:H109"/>
    <mergeCell ref="C110:H110"/>
    <mergeCell ref="C111:H111"/>
    <mergeCell ref="C112:H112"/>
    <mergeCell ref="B113:H113"/>
    <mergeCell ref="C114:J114"/>
    <mergeCell ref="C115:H115"/>
    <mergeCell ref="C116:H116"/>
    <mergeCell ref="C118:H118"/>
    <mergeCell ref="C120:H120"/>
    <mergeCell ref="C122:H122"/>
    <mergeCell ref="B124:J124"/>
    <mergeCell ref="B125:I125"/>
    <mergeCell ref="C126:I126"/>
    <mergeCell ref="C127:I127"/>
    <mergeCell ref="C128:I128"/>
    <mergeCell ref="C129:I129"/>
    <mergeCell ref="C130:I130"/>
    <mergeCell ref="C131:I131"/>
    <mergeCell ref="C132:I132"/>
    <mergeCell ref="B133:I13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P2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12" width="5.43"/>
    <col collapsed="false" customWidth="true" hidden="false" outlineLevel="0" max="2" min="2" style="112" width="34.42"/>
    <col collapsed="false" customWidth="true" hidden="false" outlineLevel="0" max="3" min="3" style="112" width="16.71"/>
    <col collapsed="false" customWidth="true" hidden="false" outlineLevel="0" max="4" min="4" style="112" width="20.57"/>
    <col collapsed="false" customWidth="true" hidden="false" outlineLevel="0" max="5" min="5" style="112" width="13.29"/>
    <col collapsed="false" customWidth="true" hidden="false" outlineLevel="0" max="6" min="6" style="112" width="20.3"/>
    <col collapsed="false" customWidth="true" hidden="false" outlineLevel="0" max="7" min="7" style="112" width="10"/>
    <col collapsed="false" customWidth="true" hidden="false" outlineLevel="0" max="8" min="8" style="112" width="15"/>
    <col collapsed="false" customWidth="true" hidden="false" outlineLevel="0" max="9" min="9" style="112" width="19.99"/>
    <col collapsed="false" customWidth="true" hidden="false" outlineLevel="0" max="10" min="10" style="112" width="20.57"/>
    <col collapsed="false" customWidth="true" hidden="false" outlineLevel="0" max="11" min="11" style="112" width="6.57"/>
    <col collapsed="false" customWidth="true" hidden="false" outlineLevel="0" max="12" min="12" style="112" width="30.43"/>
    <col collapsed="false" customWidth="true" hidden="false" outlineLevel="0" max="13" min="13" style="112" width="20.57"/>
    <col collapsed="false" customWidth="true" hidden="false" outlineLevel="0" max="14" min="14" style="112" width="12.57"/>
    <col collapsed="false" customWidth="true" hidden="false" outlineLevel="0" max="15" min="15" style="112" width="10.85"/>
    <col collapsed="false" customWidth="false" hidden="false" outlineLevel="0" max="1024" min="16" style="112" width="9.13"/>
  </cols>
  <sheetData>
    <row r="1" customFormat="false" ht="20.25" hidden="false" customHeight="false" outlineLevel="0" collapsed="false">
      <c r="B1" s="113" t="s">
        <v>220</v>
      </c>
      <c r="C1" s="113"/>
      <c r="D1" s="113"/>
      <c r="E1" s="113"/>
      <c r="F1" s="113"/>
      <c r="G1" s="113"/>
      <c r="H1" s="113"/>
      <c r="I1" s="113"/>
      <c r="J1" s="113"/>
      <c r="K1" s="113"/>
      <c r="L1" s="113"/>
      <c r="M1" s="113"/>
    </row>
    <row r="2" customFormat="false" ht="20.1" hidden="false" customHeight="true" outlineLevel="0" collapsed="false">
      <c r="B2" s="114" t="s">
        <v>221</v>
      </c>
      <c r="C2" s="114"/>
      <c r="D2" s="114"/>
      <c r="E2" s="114"/>
      <c r="F2" s="114"/>
      <c r="G2" s="114"/>
      <c r="H2" s="114"/>
      <c r="I2" s="114"/>
      <c r="J2" s="114"/>
      <c r="K2" s="115"/>
      <c r="L2" s="116" t="s">
        <v>222</v>
      </c>
      <c r="M2" s="116"/>
    </row>
    <row r="3" customFormat="false" ht="62.45" hidden="false" customHeight="true" outlineLevel="0" collapsed="false">
      <c r="A3" s="117"/>
      <c r="B3" s="118" t="s">
        <v>223</v>
      </c>
      <c r="C3" s="119" t="s">
        <v>224</v>
      </c>
      <c r="D3" s="119" t="s">
        <v>225</v>
      </c>
      <c r="E3" s="119" t="s">
        <v>226</v>
      </c>
      <c r="F3" s="119" t="s">
        <v>227</v>
      </c>
      <c r="G3" s="119" t="s">
        <v>228</v>
      </c>
      <c r="H3" s="119" t="s">
        <v>229</v>
      </c>
      <c r="I3" s="119" t="s">
        <v>230</v>
      </c>
      <c r="J3" s="119" t="s">
        <v>231</v>
      </c>
      <c r="L3" s="120" t="s">
        <v>223</v>
      </c>
      <c r="M3" s="120" t="s">
        <v>232</v>
      </c>
    </row>
    <row r="4" customFormat="false" ht="30" hidden="false" customHeight="true" outlineLevel="0" collapsed="false">
      <c r="A4" s="121"/>
      <c r="B4" s="122" t="s">
        <v>233</v>
      </c>
      <c r="C4" s="122" t="n">
        <v>980</v>
      </c>
      <c r="D4" s="122" t="s">
        <v>234</v>
      </c>
      <c r="E4" s="122" t="n">
        <f aca="false">1/C4</f>
        <v>0.00102040816326531</v>
      </c>
      <c r="F4" s="123" t="n">
        <f aca="false">TRUNC(Servente!J122,2)</f>
        <v>4257.99</v>
      </c>
      <c r="G4" s="124" t="n">
        <f aca="false">TRUNC(F4*E4,2)</f>
        <v>4.34</v>
      </c>
      <c r="H4" s="125" t="n">
        <v>1791.18</v>
      </c>
      <c r="I4" s="124" t="n">
        <f aca="false">TRUNC(H4*G4,2)</f>
        <v>7773.72</v>
      </c>
      <c r="J4" s="124" t="n">
        <f aca="false">I4*12</f>
        <v>93284.64</v>
      </c>
      <c r="K4" s="115"/>
      <c r="L4" s="126" t="s">
        <v>233</v>
      </c>
      <c r="M4" s="127" t="n">
        <f aca="false">G4</f>
        <v>4.34</v>
      </c>
      <c r="N4" s="115"/>
      <c r="P4" s="128"/>
    </row>
    <row r="5" customFormat="false" ht="30" hidden="false" customHeight="true" outlineLevel="0" collapsed="false">
      <c r="A5" s="121"/>
      <c r="B5" s="129" t="s">
        <v>235</v>
      </c>
      <c r="C5" s="122" t="n">
        <v>980</v>
      </c>
      <c r="D5" s="130" t="s">
        <v>234</v>
      </c>
      <c r="E5" s="122" t="n">
        <f aca="false">1/C5</f>
        <v>0.00102040816326531</v>
      </c>
      <c r="F5" s="131" t="n">
        <f aca="false">F4</f>
        <v>4257.99</v>
      </c>
      <c r="G5" s="124" t="n">
        <f aca="false">TRUNC(F5*E5,2)</f>
        <v>4.34</v>
      </c>
      <c r="H5" s="132" t="n">
        <v>552.63</v>
      </c>
      <c r="I5" s="124" t="n">
        <f aca="false">TRUNC(H5*G5,2)</f>
        <v>2398.41</v>
      </c>
      <c r="J5" s="133" t="n">
        <f aca="false">I5*12</f>
        <v>28780.92</v>
      </c>
      <c r="K5" s="115"/>
      <c r="L5" s="134" t="s">
        <v>235</v>
      </c>
      <c r="M5" s="127" t="n">
        <f aca="false">G5</f>
        <v>4.34</v>
      </c>
      <c r="N5" s="115"/>
      <c r="P5" s="128"/>
    </row>
    <row r="6" customFormat="false" ht="30" hidden="false" customHeight="true" outlineLevel="0" collapsed="false">
      <c r="A6" s="121"/>
      <c r="B6" s="129" t="s">
        <v>236</v>
      </c>
      <c r="C6" s="122" t="n">
        <v>2110</v>
      </c>
      <c r="D6" s="135" t="s">
        <v>237</v>
      </c>
      <c r="E6" s="122" t="n">
        <f aca="false">1/C6</f>
        <v>0.0004739336492891</v>
      </c>
      <c r="F6" s="131" t="n">
        <f aca="false">F4</f>
        <v>4257.99</v>
      </c>
      <c r="G6" s="124" t="n">
        <f aca="false">TRUNC(F6*E6,2)</f>
        <v>2.01</v>
      </c>
      <c r="H6" s="132" t="n">
        <v>115.85</v>
      </c>
      <c r="I6" s="124" t="n">
        <f aca="false">TRUNC(H6*G6,2)</f>
        <v>232.85</v>
      </c>
      <c r="J6" s="133" t="n">
        <f aca="false">I6*12</f>
        <v>2794.2</v>
      </c>
      <c r="K6" s="115"/>
      <c r="L6" s="134" t="s">
        <v>236</v>
      </c>
      <c r="M6" s="127" t="n">
        <f aca="false">G6</f>
        <v>2.01</v>
      </c>
      <c r="N6" s="115"/>
      <c r="O6" s="128"/>
    </row>
    <row r="7" customFormat="false" ht="30" hidden="false" customHeight="true" outlineLevel="0" collapsed="false">
      <c r="A7" s="121"/>
      <c r="B7" s="129" t="s">
        <v>238</v>
      </c>
      <c r="C7" s="122" t="n">
        <v>1190</v>
      </c>
      <c r="D7" s="130" t="s">
        <v>239</v>
      </c>
      <c r="E7" s="122" t="n">
        <f aca="false">1/C7</f>
        <v>0.000840336134453782</v>
      </c>
      <c r="F7" s="131" t="n">
        <f aca="false">F4</f>
        <v>4257.99</v>
      </c>
      <c r="G7" s="124" t="n">
        <f aca="false">TRUNC(F7*E7,2)</f>
        <v>3.57</v>
      </c>
      <c r="H7" s="132" t="n">
        <v>289.21</v>
      </c>
      <c r="I7" s="124" t="n">
        <f aca="false">TRUNC(H7*G7,2)</f>
        <v>1032.47</v>
      </c>
      <c r="J7" s="133" t="n">
        <f aca="false">I7*12</f>
        <v>12389.64</v>
      </c>
      <c r="K7" s="115"/>
      <c r="L7" s="134" t="s">
        <v>238</v>
      </c>
      <c r="M7" s="127" t="n">
        <f aca="false">G7</f>
        <v>3.57</v>
      </c>
      <c r="N7" s="115"/>
      <c r="O7" s="128"/>
    </row>
    <row r="8" customFormat="false" ht="30" hidden="false" customHeight="true" outlineLevel="0" collapsed="false">
      <c r="A8" s="121"/>
      <c r="B8" s="129" t="s">
        <v>240</v>
      </c>
      <c r="C8" s="122" t="n">
        <v>220</v>
      </c>
      <c r="D8" s="130" t="s">
        <v>241</v>
      </c>
      <c r="E8" s="122" t="n">
        <f aca="false">1/C8</f>
        <v>0.00454545454545455</v>
      </c>
      <c r="F8" s="131" t="n">
        <f aca="false">F4</f>
        <v>4257.99</v>
      </c>
      <c r="G8" s="124" t="n">
        <f aca="false">TRUNC(F8*E8,2)</f>
        <v>19.35</v>
      </c>
      <c r="H8" s="132" t="n">
        <v>127.44</v>
      </c>
      <c r="I8" s="124" t="n">
        <f aca="false">TRUNC(H8*G8,2)</f>
        <v>2465.96</v>
      </c>
      <c r="J8" s="133" t="n">
        <f aca="false">I8*12</f>
        <v>29591.52</v>
      </c>
      <c r="K8" s="115"/>
      <c r="L8" s="134" t="s">
        <v>240</v>
      </c>
      <c r="M8" s="127" t="n">
        <f aca="false">G8</f>
        <v>19.35</v>
      </c>
      <c r="N8" s="115"/>
    </row>
    <row r="9" customFormat="false" ht="30" hidden="false" customHeight="true" outlineLevel="0" collapsed="false">
      <c r="A9" s="121"/>
      <c r="B9" s="129" t="s">
        <v>242</v>
      </c>
      <c r="C9" s="122" t="n">
        <v>2120</v>
      </c>
      <c r="D9" s="135" t="s">
        <v>243</v>
      </c>
      <c r="E9" s="122" t="n">
        <f aca="false">1/C9</f>
        <v>0.000471698113207547</v>
      </c>
      <c r="F9" s="131" t="n">
        <f aca="false">F5</f>
        <v>4257.99</v>
      </c>
      <c r="G9" s="124" t="n">
        <f aca="false">TRUNC(F9*E9,2)</f>
        <v>2</v>
      </c>
      <c r="H9" s="132" t="n">
        <v>192.08</v>
      </c>
      <c r="I9" s="124" t="n">
        <f aca="false">TRUNC(H9*G9,2)</f>
        <v>384.16</v>
      </c>
      <c r="J9" s="133" t="n">
        <f aca="false">I9*12</f>
        <v>4609.92</v>
      </c>
      <c r="K9" s="115"/>
      <c r="L9" s="134" t="s">
        <v>242</v>
      </c>
      <c r="M9" s="127" t="n">
        <f aca="false">G9</f>
        <v>2</v>
      </c>
      <c r="N9" s="115"/>
    </row>
    <row r="10" customFormat="false" ht="30" hidden="false" customHeight="true" outlineLevel="0" collapsed="false">
      <c r="A10" s="121"/>
      <c r="B10" s="129" t="s">
        <v>244</v>
      </c>
      <c r="C10" s="122" t="n">
        <v>325</v>
      </c>
      <c r="D10" s="130" t="s">
        <v>245</v>
      </c>
      <c r="E10" s="122" t="n">
        <f aca="false">(1/325)*16*(1/188.76)</f>
        <v>0.000260811449622638</v>
      </c>
      <c r="F10" s="131" t="n">
        <f aca="false">F6</f>
        <v>4257.99</v>
      </c>
      <c r="G10" s="124" t="n">
        <f aca="false">TRUNC(F10*E10,2)</f>
        <v>1.11</v>
      </c>
      <c r="H10" s="132" t="n">
        <v>756.32</v>
      </c>
      <c r="I10" s="124" t="n">
        <f aca="false">TRUNC(H10*G10,2)</f>
        <v>839.51</v>
      </c>
      <c r="J10" s="133" t="n">
        <f aca="false">I10*12</f>
        <v>10074.12</v>
      </c>
      <c r="K10" s="115"/>
      <c r="L10" s="134" t="s">
        <v>244</v>
      </c>
      <c r="M10" s="127" t="n">
        <f aca="false">G10</f>
        <v>1.11</v>
      </c>
      <c r="N10" s="115"/>
    </row>
    <row r="11" customFormat="false" ht="30" hidden="false" customHeight="true" outlineLevel="0" collapsed="false">
      <c r="A11" s="121"/>
      <c r="B11" s="129" t="s">
        <v>246</v>
      </c>
      <c r="C11" s="130" t="n">
        <v>130</v>
      </c>
      <c r="D11" s="130" t="s">
        <v>247</v>
      </c>
      <c r="E11" s="122" t="n">
        <f aca="false">(1/130)*8*(1/1132.6)</f>
        <v>5.43337996984474E-005</v>
      </c>
      <c r="F11" s="131" t="n">
        <f aca="false">F7</f>
        <v>4257.99</v>
      </c>
      <c r="G11" s="124" t="n">
        <f aca="false">TRUNC(F11*E11,2)</f>
        <v>0.23</v>
      </c>
      <c r="H11" s="132" t="n">
        <v>1569.82</v>
      </c>
      <c r="I11" s="124" t="n">
        <f aca="false">TRUNC(H11*G11,2)</f>
        <v>361.05</v>
      </c>
      <c r="J11" s="133" t="n">
        <f aca="false">I11*12</f>
        <v>4332.6</v>
      </c>
      <c r="K11" s="115"/>
      <c r="L11" s="134" t="s">
        <v>246</v>
      </c>
      <c r="M11" s="127" t="n">
        <f aca="false">G11</f>
        <v>0.23</v>
      </c>
      <c r="N11" s="115"/>
    </row>
    <row r="12" customFormat="false" ht="30" hidden="false" customHeight="true" outlineLevel="0" collapsed="false">
      <c r="A12" s="121"/>
      <c r="B12" s="136" t="s">
        <v>248</v>
      </c>
      <c r="C12" s="136"/>
      <c r="D12" s="136"/>
      <c r="E12" s="136"/>
      <c r="F12" s="136"/>
      <c r="G12" s="136"/>
      <c r="H12" s="136"/>
      <c r="I12" s="137" t="n">
        <f aca="false">SUM(I4:I11)</f>
        <v>15488.13</v>
      </c>
      <c r="J12" s="137" t="n">
        <f aca="false">I12*12</f>
        <v>185857.56</v>
      </c>
      <c r="K12" s="138"/>
      <c r="L12" s="138"/>
      <c r="M12" s="138"/>
      <c r="N12" s="138"/>
      <c r="O12" s="139"/>
    </row>
    <row r="13" customFormat="false" ht="30" hidden="false" customHeight="true" outlineLevel="0" collapsed="false">
      <c r="A13" s="140"/>
      <c r="B13" s="136" t="s">
        <v>249</v>
      </c>
      <c r="C13" s="136"/>
      <c r="D13" s="136"/>
      <c r="E13" s="136"/>
      <c r="F13" s="136"/>
      <c r="G13" s="136"/>
      <c r="H13" s="136"/>
      <c r="I13" s="137" t="n">
        <f aca="false">'Servente + Copeiro'!J133-Servente!J122</f>
        <v>73.3665000000001</v>
      </c>
      <c r="J13" s="141" t="n">
        <f aca="false">I13*12</f>
        <v>880.398000000001</v>
      </c>
    </row>
    <row r="14" customFormat="false" ht="30" hidden="false" customHeight="true" outlineLevel="0" collapsed="false">
      <c r="B14" s="142" t="s">
        <v>250</v>
      </c>
      <c r="C14" s="142"/>
      <c r="D14" s="142"/>
      <c r="E14" s="142"/>
      <c r="F14" s="142"/>
      <c r="G14" s="142"/>
      <c r="H14" s="142"/>
      <c r="I14" s="143" t="n">
        <f aca="false">I12+I13</f>
        <v>15561.4965</v>
      </c>
      <c r="J14" s="143" t="n">
        <f aca="false">J12+J13</f>
        <v>186737.958</v>
      </c>
    </row>
    <row r="15" customFormat="false" ht="30" hidden="false" customHeight="true" outlineLevel="0" collapsed="false">
      <c r="B15" s="144" t="s">
        <v>251</v>
      </c>
      <c r="C15" s="144"/>
      <c r="D15" s="144"/>
      <c r="E15" s="144"/>
      <c r="F15" s="144"/>
      <c r="G15" s="144"/>
      <c r="H15" s="144"/>
      <c r="I15" s="145" t="n">
        <f aca="false">Materiais!J13</f>
        <v>124.34</v>
      </c>
      <c r="J15" s="145" t="n">
        <f aca="false">I15*12</f>
        <v>1492.08</v>
      </c>
    </row>
    <row r="16" s="146" customFormat="true" ht="30" hidden="false" customHeight="true" outlineLevel="0" collapsed="false">
      <c r="B16" s="136" t="s">
        <v>252</v>
      </c>
      <c r="C16" s="136"/>
      <c r="D16" s="136"/>
      <c r="E16" s="136"/>
      <c r="F16" s="136"/>
      <c r="G16" s="136"/>
      <c r="H16" s="136"/>
      <c r="I16" s="137" t="n">
        <f aca="false">Materiais!J42</f>
        <v>5732.28</v>
      </c>
      <c r="J16" s="145" t="n">
        <f aca="false">I16*12</f>
        <v>68787.36</v>
      </c>
    </row>
    <row r="17" s="146" customFormat="true" ht="30" hidden="false" customHeight="true" outlineLevel="0" collapsed="false">
      <c r="B17" s="142"/>
      <c r="C17" s="142"/>
      <c r="D17" s="142" t="s">
        <v>253</v>
      </c>
      <c r="E17" s="142"/>
      <c r="F17" s="142"/>
      <c r="G17" s="142"/>
      <c r="H17" s="142"/>
      <c r="I17" s="143"/>
      <c r="J17" s="143" t="n">
        <f aca="false">J15+J16</f>
        <v>70279.44</v>
      </c>
    </row>
    <row r="18" customFormat="false" ht="30" hidden="false" customHeight="true" outlineLevel="0" collapsed="false">
      <c r="B18" s="147" t="s">
        <v>254</v>
      </c>
      <c r="C18" s="147"/>
      <c r="D18" s="147"/>
      <c r="E18" s="147"/>
      <c r="F18" s="147"/>
      <c r="G18" s="147"/>
      <c r="H18" s="147"/>
      <c r="I18" s="148"/>
      <c r="J18" s="148" t="n">
        <f aca="false">J14+J17</f>
        <v>257017.398</v>
      </c>
    </row>
    <row r="21" customFormat="false" ht="12.75" hidden="false" customHeight="false" outlineLevel="0" collapsed="false">
      <c r="B21" s="149"/>
      <c r="C21" s="149"/>
      <c r="D21" s="149"/>
      <c r="E21" s="149"/>
      <c r="F21" s="149"/>
      <c r="G21" s="149"/>
      <c r="H21" s="149"/>
      <c r="I21" s="149"/>
      <c r="J21" s="150"/>
      <c r="K21" s="150"/>
      <c r="L21" s="150"/>
      <c r="M21" s="149"/>
    </row>
    <row r="22" customFormat="false" ht="12.75" hidden="false" customHeight="false" outlineLevel="0" collapsed="false">
      <c r="J22" s="151"/>
      <c r="K22" s="151"/>
      <c r="L22" s="151"/>
    </row>
  </sheetData>
  <mergeCells count="10">
    <mergeCell ref="B1:M1"/>
    <mergeCell ref="B2:J2"/>
    <mergeCell ref="L2:M2"/>
    <mergeCell ref="A4:A8"/>
    <mergeCell ref="B12:H12"/>
    <mergeCell ref="B13:H13"/>
    <mergeCell ref="B14:H14"/>
    <mergeCell ref="B15:H15"/>
    <mergeCell ref="B16:H16"/>
    <mergeCell ref="B18:H1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346</TotalTime>
  <Application>LibreOffice/7.0.4.2$Windows_X86_64 LibreOffice_project/dcf040e67528d9187c66b2379df5ea4407429775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2011-07-13T17:15:58Z</dcterms:created>
  <dc:creator>gisele.oliveira</dc:creator>
  <dc:description/>
  <dc:language>pt-BR</dc:language>
  <cp:lastModifiedBy/>
  <cp:lastPrinted>2023-11-13T14:16:55Z</cp:lastPrinted>
  <dcterms:modified xsi:type="dcterms:W3CDTF">2023-11-13T14:17:19Z</dcterms:modified>
  <cp:revision>44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d1718231-e157-4ccc-b6cf-0c2338374c07</vt:lpwstr>
  </property>
</Properties>
</file>