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7" activeTab="7"/>
  </bookViews>
  <sheets>
    <sheet name="Plan1" sheetId="1" state="hidden" r:id="rId1"/>
    <sheet name="Plan2" sheetId="2" state="hidden" r:id="rId2"/>
    <sheet name="Plan3" sheetId="3" state="hidden" r:id="rId3"/>
    <sheet name="ITEM MODIFICADO" sheetId="4" state="hidden" r:id="rId4"/>
    <sheet name="total" sheetId="5" state="hidden" r:id="rId5"/>
    <sheet name="Plan4" sheetId="6" state="hidden" r:id="rId6"/>
    <sheet name="Plan5" sheetId="7" state="hidden" r:id="rId7"/>
    <sheet name="reforma escola" sheetId="8" r:id="rId8"/>
    <sheet name="Plan6" sheetId="9" r:id="rId9"/>
    <sheet name="Plan7" sheetId="10" r:id="rId10"/>
  </sheets>
  <definedNames>
    <definedName name="_xlfn.SEC" hidden="1">#NAME?</definedName>
    <definedName name="_xlnm.Print_Area" localSheetId="7">'reforma escola'!$A$1:$I$159</definedName>
    <definedName name="_xlnm.Print_Titles" localSheetId="7">'reforma escola'!$3:$11</definedName>
  </definedNames>
  <calcPr fullCalcOnLoad="1"/>
</workbook>
</file>

<file path=xl/sharedStrings.xml><?xml version="1.0" encoding="utf-8"?>
<sst xmlns="http://schemas.openxmlformats.org/spreadsheetml/2006/main" count="870" uniqueCount="603">
  <si>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</si>
  <si>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</si>
  <si>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</si>
  <si>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</si>
  <si>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</si>
  <si>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</si>
  <si>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</si>
  <si>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</si>
  <si>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</si>
  <si>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1.1</t>
  </si>
  <si>
    <t>05.001.0147-A</t>
  </si>
  <si>
    <t>ARRANCAMENTO DE GRADES,GRADIS,ALAMBRADOS,CERCAS E PORTÕES</t>
  </si>
  <si>
    <t>M2</t>
  </si>
  <si>
    <t>1.2</t>
  </si>
  <si>
    <t>02.020.0001-A</t>
  </si>
  <si>
    <t>PLACA DE IDENTIFICACAO DE OBRA PÚBLICA,INCLUSIVE PINTURA E SUPORTES DE MADEIRA.FORNECIMENTO E COLOCAÇÃO</t>
  </si>
  <si>
    <t>1.3</t>
  </si>
  <si>
    <t>2.0</t>
  </si>
  <si>
    <t>2.1</t>
  </si>
  <si>
    <t>14.006.0010-A</t>
  </si>
  <si>
    <t>PORTA DE MADEIRA DE LEI EM COMPENSADO DE 80X210X3CM FOLHEADANAS 2 FACES,ADUELA DE 13X3CM E ALIZARES DE 5X2CM,EXCLUSIVEFERRAGENS.FORNECIMENTO E COLOCACAO</t>
  </si>
  <si>
    <t>UN</t>
  </si>
  <si>
    <t>14.007.0040-A</t>
  </si>
  <si>
    <t>FERRAGENS P/PORTAS DE MADEIRA,1 FOLHA DE ABRIR,INTERNAS,SOCIAIS OU DE SERVIÇO,CONSTANDO DE FORNEC.S/COLOC.,DE:-FECHADURATIPO GORGE,TRINCO REVERSÍVEL,EM LATÃO,ACABAMENTO CROMADO;-ENTRADA E ROSETA CIRCULARES,LATÃO LAMINADO,ACABAMENTO CROMADO;-MACANETA TIPO ALAVANCA,EM LATÃO,ACABAMENTO CROMADO;-3 DOBRADIÇAS FERRO GALVANIZADO 3"X2.1/2",COM PINO E BOLAS DE FERRO</t>
  </si>
  <si>
    <t>UN.</t>
  </si>
  <si>
    <t>3.0</t>
  </si>
  <si>
    <t>Revestimento</t>
  </si>
  <si>
    <t>12.003.0180-B</t>
  </si>
  <si>
    <t>ALVENARIA DE TIJOLOS CERAMICOS FURADOS 10X20X20CM ASSENTES COM ARGAMASSA DE CIMENTO,CAL HIDRATADA ADITIVADA E AREIA,NO TRACO 1:1:8,EM PAREDES DE MEIA VEZ(0,10M),DE SUPERFICIE CORRIDA,ATE 3,00M DE ALTURA E MEDIDA PELA AREA REAL</t>
  </si>
  <si>
    <t>4.0</t>
  </si>
  <si>
    <t>18.007.0080-A</t>
  </si>
  <si>
    <t>CHUVEIRO ELETRICO EM PLASTICO,EM 110/220V,COM BRACO CROMADODE 1/2" E 1 REGISTRO DE PRESSAO 1416 DE 3/4",COM CANOPLA E VOLANTE EM METAL CROMADO.FORNECIMENTO</t>
  </si>
  <si>
    <t>15.003.0381-A</t>
  </si>
  <si>
    <t>ASSENTAMENTO DE CHUVEIRO (EXCLUSIVE FORNECIMENTO DO APARELHO E BRAÇO),INCLUSIVE MATERIAIS NECESSÁRIOS</t>
  </si>
  <si>
    <t>18.005.0010-A</t>
  </si>
  <si>
    <t>SABONETEIRA EM PLÁSTICO ABS,PARA SABONETE LÍQUIDO.FORNECIMENTO E COLOCAÇÃO</t>
  </si>
  <si>
    <t>15.003.0377-A</t>
  </si>
  <si>
    <t>RETIRADA E REASSENTAMENTO DE TORNEIRA,INCLUSIVE MATERIAIS NECESSARIOS</t>
  </si>
  <si>
    <t>14.004.0100-A</t>
  </si>
  <si>
    <t>ESPELHO DE CRISTAL,4MM DE ESPESSURA.COM MOLDURA DE MADEIRA.FORNECIMENTO E COLOCAÇÃO</t>
  </si>
  <si>
    <t>18.005.0012-A</t>
  </si>
  <si>
    <t>PORTA-TOALHA DE PAPEL EM PLASTICO ABS.FORNECIMENTO E COLOCAÇÃO</t>
  </si>
  <si>
    <t>5.0</t>
  </si>
  <si>
    <t>6.0</t>
  </si>
  <si>
    <t>11.013.0070-B</t>
  </si>
  <si>
    <t>CONCRETO ARMADO,FCK=20MPA,INCLUINDO MATERIAIS PARA 1,00M3 DECONCRETO (IMPORTADO DE USINA) ADENSADO E COLOCADO,14,00M2 DE AREA MOLDADA,FORMAS E ESCORAMENTO CONFORME ITENS 11.004.0022</t>
  </si>
  <si>
    <t>M3</t>
  </si>
  <si>
    <t>7.0</t>
  </si>
  <si>
    <t>5.1</t>
  </si>
  <si>
    <t>17.018.0044-A</t>
  </si>
  <si>
    <t>REPINTURA COM TINTA LATEX,CLASSIFICAÇÃO ECONÔMICA (NBR 15079),PARA INTERIOR,SOBRE SUPERFÍCIE EM BOM ESTADO E NA COR EXISTENTE,INCLUSIVE LIMPEZA,LEVE LIXAMENTO COM LIXA FINA,UMA DEMÃO DE SELADOR E UMA DE ACABAMENTO</t>
  </si>
  <si>
    <t>5.2</t>
  </si>
  <si>
    <t>17.018.0082-A</t>
  </si>
  <si>
    <t>REPINTURA COM TINTA LATEX ACETINADA,CLASSIFICAÇÃO PREMIUM OU STANDARD (NBR 15079),PARA EXTERIOR,SOBRE SUPERFÍCIE EM BOM ESTADO E NA COR EXISTENTE,INCLUSIVE LIMPEZA,LIXAMENTO COM LIXA FINA,UMA DEMÃO DE SELADOR E UMA DE ACABAMENTO</t>
  </si>
  <si>
    <t>17.017.0130-A</t>
  </si>
  <si>
    <t>REPINTURA INTERNA OU EXTERNA SOBRE MADEIRA COM TINTA A OLEOBRILHANTE OU ACETINADA,SOBRE FUNDO SINTETICO NIVELADOR,INCLUSIVE ESTE,COM LIXAMENTO E DUAS DEMAOS DE ACABAMENTO,NA COR EXISTENTE</t>
  </si>
  <si>
    <t>17.017.0110-A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</si>
  <si>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</si>
  <si>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17.018.0080-A</t>
  </si>
  <si>
    <t>PINTURA COM TINTA LATEX,CLASSIFICACAO STANDARD (NBR 15079),PARA EXTERIOR,INCLUSIVE LIXAMENTOS,LIMPEZA,UMA DEMAO DE SELADOR ACRÍLICO E DUAS DEMÃOS DE ACABAMENTO</t>
  </si>
  <si>
    <t>58.002.0425-B</t>
  </si>
  <si>
    <t>PINTURA INTERNA/EXTERN.SOBRE FERRO C/TINTA ALQUÍDICA ESMALT.BRILH.EQUIV.LAGOLINE, INCL.LIMP.LIXAM.APLIC.ZARCÃO 2 DEMÃOS</t>
  </si>
  <si>
    <t>6.1</t>
  </si>
  <si>
    <t xml:space="preserve">TOTAL </t>
  </si>
  <si>
    <t>ITEM  / DESCRIÇÃO</t>
  </si>
  <si>
    <t>DIAS</t>
  </si>
  <si>
    <t>SERVIÇOS PRELIMINARES E DIVERSOS</t>
  </si>
  <si>
    <t>APARELHOS SANITÁRIOS</t>
  </si>
  <si>
    <t>ESQUADRIAS</t>
  </si>
  <si>
    <t>DIVISÓRIAS</t>
  </si>
  <si>
    <t>REVESTIMENTOS</t>
  </si>
  <si>
    <t>PINTURA</t>
  </si>
  <si>
    <t>ESTRUTURA</t>
  </si>
  <si>
    <t>SERVIÇOS PRELIMINARES</t>
  </si>
  <si>
    <t>APARELHOS E INSTALAÇÕES SANITÁRIOS</t>
  </si>
  <si>
    <t>8.0</t>
  </si>
  <si>
    <t>COBERTURA</t>
  </si>
  <si>
    <t>ALVENARIA</t>
  </si>
  <si>
    <t>EQ. ELÉTRICOS</t>
  </si>
  <si>
    <t>2.2</t>
  </si>
  <si>
    <t>1.4</t>
  </si>
  <si>
    <t>2.4</t>
  </si>
  <si>
    <t>3.1</t>
  </si>
  <si>
    <t>3.2</t>
  </si>
  <si>
    <t>6.4</t>
  </si>
  <si>
    <t>7.1</t>
  </si>
  <si>
    <t>8.1</t>
  </si>
  <si>
    <t>8.2</t>
  </si>
  <si>
    <t>8.3</t>
  </si>
  <si>
    <t>9.0</t>
  </si>
  <si>
    <t>BDI (22,23%)</t>
  </si>
  <si>
    <t>TOTAL COM BD1</t>
  </si>
  <si>
    <t>Reforma e Manutenção</t>
  </si>
  <si>
    <t>total com BDI (R$)</t>
  </si>
  <si>
    <t>quadra poliesportiva</t>
  </si>
  <si>
    <t>prédio escolar e muro</t>
  </si>
  <si>
    <t>Construção</t>
  </si>
  <si>
    <t>cobertura da quadra</t>
  </si>
  <si>
    <t>diretoria e banheiro</t>
  </si>
  <si>
    <t>total dos serviços com BDI  (R$)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</si>
  <si>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</si>
  <si>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18.027.0315-A</t>
  </si>
  <si>
    <t>LUMINARIA DE SOBREPOR,FIXADA EM LAJE OU FORRO,TIPO CALHA,CHANFRADA OU PRISMATICA,ESMALTADA,COMPLETA,EQUIPADA COM REATORELETRONICO DE ALTO FATOR DE POTENCIA(AFP&gt;=0,92)E LAMPADA FLUORESCENTE DE 2X40W.FORNECIMENTO E COLOCACAO</t>
  </si>
  <si>
    <t>LAMPADA FLUORESCENTE TUBULAR,DE 40W.FORNECIMENTO E COLOCACAO</t>
  </si>
  <si>
    <t>15.020.0029-A</t>
  </si>
  <si>
    <t>4.1</t>
  </si>
  <si>
    <t>02.002.0007-A</t>
  </si>
  <si>
    <t>TAPUME DE VEDACAO OU PROTECAO EXECUTADO COM TELHAS TRAPEZOIDAIS DE ACO GALVANIZADO,ESPESSURA DE 0,5MM,ESTAS COM 4 VEZESDE UTILIZACAO,INCLUSIVE ENGRADAMENTO DE MADEIRA,UTILIZADO 2VEZES,EXCLUSIVE PINTURA</t>
  </si>
  <si>
    <t>02.006.0015-A</t>
  </si>
  <si>
    <t>ALUGUEL CONTAINER TIPO ESCRITORIO C/WC,MEDINDO 2,20M LARGURA,6,20M COMPRIMENTO E 2,50M ALTURA,CHAPAS ACO C/NERVURAS TRAPEZOIDAIS,ISOLAMENTO TERMO-ACUSTICO FORRO,CHASSIS REFORCADO EPISO COMPENSADO NAVAL,INCL.INST.ELETRICA E HIDRO-SANITARIAS,ACESSORIOS,1 VASO SANITARIO E 1 LAVATORIO,EXCL.TRANSP.(VIDEITEM 04.005.0300),CARGA E DESCARGA(VIDE ITEM 04.013.0015)</t>
  </si>
  <si>
    <t>UNXMES</t>
  </si>
  <si>
    <t>04.013.0015-A</t>
  </si>
  <si>
    <t>CARGA E DESCARGA DE CONTAINER,SEGUNDO DESCRICAO DA FAMILIA 02.006</t>
  </si>
  <si>
    <t>04.005.0300-A</t>
  </si>
  <si>
    <t>TRANSPORTE DE CONTAINER,SEGUNDO DESCRICAO DA FAMILIA 02.006,EXCLUSIVE CARGA E DESCARGA(VIDE ITEM 04.013.0015)</t>
  </si>
  <si>
    <t>UNXKM</t>
  </si>
  <si>
    <t>05.105.0127-A</t>
  </si>
  <si>
    <t>MAO-DE-OBRA DE ENCARREGADO DE OBRA,INCLUSIVE ENCARGOS SOCIAIS</t>
  </si>
  <si>
    <t>MES</t>
  </si>
  <si>
    <t xml:space="preserve">6,0 m² </t>
  </si>
  <si>
    <t>1 unidade</t>
  </si>
  <si>
    <t>1 unidade x 100 km</t>
  </si>
  <si>
    <t>REVESTIMENTO DE PAREDES COM CERAMICA BRANCA,CINZA OU BEGE,10X10CM,TELADA,PLACA 30X30CM,ASSENTE CONFORME ITEM 13.025.0058</t>
  </si>
  <si>
    <t>13.030.0257-A</t>
  </si>
  <si>
    <t>FORRO DE GESSO ESTAFE,COM PLACAS DE 1,00X0,70M FUNDIDAS NA OBRA, PRESAS COM 6 ESBIRROS DE CANHAMO, EMBEBIDAS EM NATA DEGESSO E REJUNTADAS.FORNECIMENTO E COLOCACAO</t>
  </si>
  <si>
    <t>VASO SANITARIO DE LOUCA BRANCA,TIPO POPULAR,COM CAIXA ACOPLADA E MEDIDAS EM TORNO DE 35X65X35CM,INCLUSIVE ASSENTO PLASTICO TIPO POPULAR,BOLSA DE LIGACAO,RABICHO EM PVC E ACESSORIOSDE FIXACAO.FORNECIMENTO</t>
  </si>
  <si>
    <t>18.002.0065-A</t>
  </si>
  <si>
    <t>BANCA DE GRANITO CINZA ANDORINHA,COM 3CM DE ESPESSURA,COM ABERTURA PARA 1 CUBA(EXCLUSIVE ESTA),SOBRE APOIOS DE ALVENARIADE MEIA VEZ E VERGA DE CONCRETO,SEM REVESTIMENTO.FORNECIMENTO E COLOCACAO</t>
  </si>
  <si>
    <t>18.082.0050-A</t>
  </si>
  <si>
    <t>13.180.0010-A</t>
  </si>
  <si>
    <t>TANQUE PARA LAVAGEM DE PANELOES,MEDINDO 80X60X50CM,CONCRETOAPARENTE,REVESTIDO INTERNAMENTE COM ARGAMASSA DE CIMENTO E AREIA,NO TRACO 1:3,ACABAMENTO DAS BORDAS EM PECAS DE MADEIRADE LEI E VALVULA DE ESCOAMENTO 1600 EM METAL CROMADO,CONFORME PROJETO Nº6019/EMOP,EXCLUSIVE TORNEIRAS E INSTALACAO HIDRAULICA.FORNECIMENTO</t>
  </si>
  <si>
    <t>18.023.0011-A</t>
  </si>
  <si>
    <t>cozinha: 1 un.</t>
  </si>
  <si>
    <t>DEMOLICAO DE REVESTIMENTO EM AZULEJOS,CERAMICAS OU MARMORE EM PAREDE,EXCLUSIVE A CAMADA DE ASSENTAMENTO</t>
  </si>
  <si>
    <t>05.001.0009-A</t>
  </si>
  <si>
    <t>VASO SANITARIO DE LOUCA BRANCA,PARA PESSOAS COM NECESSIDADESESPECIFICAS,INCLUSIVE ASSENTO ESPECIAL,BOLSA DE LIGACAO EACESSORIOS DE FIXACAO.FORNECIMENTO</t>
  </si>
  <si>
    <t>18.002.0090-A</t>
  </si>
  <si>
    <t>Banheiro PNE: 1 um</t>
  </si>
  <si>
    <t>LAVATORIO DE LOUCA BRANCA,COM COLUNA SUSPENSA,PARA PESSOAS COM NECESSIDADES ESPECIFICAS,COM MEDIDAS EM TORNO DE 45,5X35,5CM,EXCLUSIVE SIFAO,VALVULA DE ESCOAMENTO,RABICHO E TORNEIRA.FORNECIMENTO</t>
  </si>
  <si>
    <t>18.002.0013-A</t>
  </si>
  <si>
    <t>LAVATORIO DE LOUCA BRANCA,DE EMBUTIR(CUBA),TIPO MEDIO LUXO,SEM LADRAO,COM MEDIDAS EM TORNO DE 52X39CM.FORNECIMENTO</t>
  </si>
  <si>
    <t>18.006.0025-A</t>
  </si>
  <si>
    <t>RETIRADA E REASSENTAMENTO DE VASO SANITARIO SIFONADO,INCLUSIVE MATERIAIS NECESSARIOS</t>
  </si>
  <si>
    <t>15.003.0410-A</t>
  </si>
  <si>
    <t>PORTA DE MADEIRA DE LEI EM COMPENSADO DE 60X210X3CM FOLHEADANAS 2 FACES,ADUELA DE 13X3CM E ALIZARES DE 5X2CM,EXCLUSIVEFERRAGENS.FORNECIMENTO E COLOCACAO</t>
  </si>
  <si>
    <t>14.006.0014-A</t>
  </si>
  <si>
    <t>Lavabo secretaria : 1 um..</t>
  </si>
  <si>
    <t>VIDRO TEMPERADO INCOLOR,10MM DE ESPESSURA,PARA PORTAS OU PAINEIS FIXOS,EXCLUSIVE FERRAGENS.FORNECIMENTO E COLOCACAO</t>
  </si>
  <si>
    <t>14.004.0120-A</t>
  </si>
  <si>
    <t>FERRAGENS PARA PORTAS(CONJUNTO COMPLETO) DE 2 FOLHAS DE VIDRO TEMPERADO DE 10MM,CONSTANDO DE FORNECIMENTO SEM COLOCACAO(ESTA INCLUIDA NO FORNECIMENTO E COLOCACAO DO VIDRO),EXCLUSIVE MOLA HIDRAULICA DE PISO(VIDE ITEM 14.007.0190)</t>
  </si>
  <si>
    <t>MOLA HIDRAULICA DE PISO PARA PORTAS DE VIDRO TEMPERADO DE 10MM.FORNECIMENTO</t>
  </si>
  <si>
    <t>14.007.0190-A</t>
  </si>
  <si>
    <t>FERRAGENS P/PORTA MADEIRA,DE 2 FOLHAS DE ABRIR,DE ENTRADA PRINCIPAL,CONSTANDO DE FORN.S/COLOC.DE:-FECHADURA CILINDRO,DELATAO,MONOBLOCO,ACABAMENTO CROMADO,;-ENTRADA CIRCULAR,LATAO,ACABAMENTO CROMADO;-ROSETA CIRCULAR,LATAO,ACAB.CROMADO;-MACANETA TIPO ALAVANCA,LATAO,ACABAMENTO CROMADO;-6 DOBRADICAS 3"X3" LATAO CROMADO,C/PINOS,BOLAS E ANEIS DE LATAO E 2 FECHOS</t>
  </si>
  <si>
    <t>14.007.0025-A</t>
  </si>
  <si>
    <t>PORTA DE MADEIRA DE LEI MACICA COM ATE 5 ALMOFADAS,COM 3,5CMDE ESPESSURA,MARCO E ALIZAR,EXCLUSIVE FERRAGENS.FORNECIMENTO E COLOCACAO</t>
  </si>
  <si>
    <t>14.006.0423-A</t>
  </si>
  <si>
    <t>Porta P10 + porta P11 : (1,8,m x 2,1m x 2un)</t>
  </si>
  <si>
    <t>banheiros masc e fem auditório: (6,99m² +6,51m²) + banheiros masc e fem infantis: (8,46m² x 2 um) + lavabo direção: 2 m² +lavabo secretaria:1,76m²</t>
  </si>
  <si>
    <t>PORTA DE MADEIRA DE LEI EM COMPENSADO DE 120X210X3CM,EM 2 FOLHAS,ADUELA DE 13X3CM E ALIZARES 5X2CM,EXCLUSIVE FERRAGENS.FORNECIMENTO E COLOCACAO</t>
  </si>
  <si>
    <t>14.006.0150-A</t>
  </si>
  <si>
    <t>hall de serviço: 1 um</t>
  </si>
  <si>
    <t>banheiro auditório fem: 1 um + banheiro auditório masc: 1 um+ banheiro camarim: 1 um + cabine de projeção: 1 un + salas educação infantil (1,2,3,4):  4 un+ area de serviço: 1 um</t>
  </si>
  <si>
    <t>PORTA DE MADEIRA DE LEI EM COMPENSADO,FOLHEADA NAS 2 FACES COM 3CM DE ESPESSURA,ADUELA E ALIZARES,EXCLUSIVE FERRAGENS.FORNECIMENTO E COLOCACAO</t>
  </si>
  <si>
    <t>14.006.0420-A</t>
  </si>
  <si>
    <t>INSTALACAO E ASSENTAMENTO DE VASO SANITARIO INDIVIDUAL E CAIXA DE DESCARGA(EXCLUSIVE ESTES)EM PAVIMENTO TERREO,COMPREENDENDO INSTALACAO HIDRAULICA COM 2,00M DE TUBO DE PVC DE 25MM,COM CONEXOES,ATE A CAIXA E APOS ESTA ATE O VASO,LIGACAO DE ESGOTO COM 3,00M DE TUBO DE PVC DE 100MM A CAIXA INSPECAO E TUBO VENTILACAO,INCLUSIVE CONEXOES,EXCLUSIVE TUBO VENTILACAO</t>
  </si>
  <si>
    <t>15.004.0108-A</t>
  </si>
  <si>
    <t>INSTALACAO E ASSENTAMENTO DE TANQUE DE SERVICO (EXCLUSIVE FORNECIMENTO DO APARELHO),COMPREENDENDO:3,00M DE TUBO DE PVC DE 25MM,3,00M DE TUBO DE PVC DE 50MM E CONEXOES</t>
  </si>
  <si>
    <t>15.004.0070-A</t>
  </si>
  <si>
    <t>TANQUE DE LOUCA BRANCA,COM COLUNA E MEDIDAS EM TORNO DE 60X56CM,INCLUSIVE ACESSORIOS DE FIXACACAO.FORNECIMENTO</t>
  </si>
  <si>
    <t>18.006.0033-A</t>
  </si>
  <si>
    <t>JANELA DE ALUMINIO ANODIZADO AO NATURAL DE CORRER,COM DUAS FOLHAS DE CORRER,EM PERFIS SERIE 28.FORNECIMENTO E COLOCACAO</t>
  </si>
  <si>
    <t>14.003.0025-A</t>
  </si>
  <si>
    <t>Sala de educação infantil 02 e 03: (3,0m x 0,9m) x 2un + área de serviço: (1,20m x 0,25m)</t>
  </si>
  <si>
    <t xml:space="preserve">Banheiro PNE: 1 um </t>
  </si>
  <si>
    <t>DEMOLICAO MANUAL DE ALVENARIA DE TIJOLOS FURADOS,INCLUSIVE EMPILHAMENTO DENTRO DO CANTEIRO DE SERVICO</t>
  </si>
  <si>
    <t>05.001.0023-A</t>
  </si>
  <si>
    <t>VIDRO PLANO TRANSPARENTE,COMUM,DE 5MM DE ESPESSURA.FORNECIMENTO E COLOCACAO</t>
  </si>
  <si>
    <t>14.004.0020-A</t>
  </si>
  <si>
    <t>janelas: Sala de educação infantil 02 e 03: (3,0m x 0,9m) x 2un + área de serviço: (1,20m x 0,25m)</t>
  </si>
  <si>
    <t>PAREDE DIVISORIA PARA SANITARIO EM GRANITO CINZA CORUMBA,COM3CM DE ESPESSURA,POLIDA NAS DUAS FACES,FIXACAO PISO OU PAREDE,EXCLUSIVE FERRAGENS PARA FIXACAO.FORNECIMENTO E COLOCACAO</t>
  </si>
  <si>
    <t>12.035.0005-A</t>
  </si>
  <si>
    <t xml:space="preserve">banheiros masc auditório: (1,15m+ 0,51m +0,11m) x 1,8m + banheiros fem auditório:(1,15m +1,15m+ 0,15m +0,3m + 0,6m+0,6m+ 0,8m)  x 1,8m </t>
  </si>
  <si>
    <t>FERRAGENS PARA DIVISORIAS DE MARMORE OU MARMORITE,DE SANITARIOS,CONSTANDO DE FORNECIMENTO SEM COLOCACAO(ESTA INCLUIDA NOFORNECIMENTO E COLOCACAO DA DIVISORIA),DE:-4 CANTONEIRAS DEALUMINIO PARA FIXACAO DA PLACA;-12 PARAFUSOS DE ALUMINIO DE3/4"X5/16" COM ROSCA</t>
  </si>
  <si>
    <t>14.007.0200-A</t>
  </si>
  <si>
    <t>Banheiro auditório masc: 2un  + Banheiro auditório fem:4 um</t>
  </si>
  <si>
    <t>Porta P10 + porta P11 + hall de serviço: 3 un + acesso lixeiras: 1 um</t>
  </si>
  <si>
    <t>ASSENTAMENTO DE LAVATORIO(EXCLUSIVE FORNECIMENTO DO APARELHO),INCLUSIVE MATERIAIS NECESSARIOS</t>
  </si>
  <si>
    <t>15.003.0360-A</t>
  </si>
  <si>
    <t>PORTA DE ALUMINIO ANODIZADO AO NATURAL,PERFIL SERIE 25,EM VENEZIANA,EXCLUSIVE FECHADURA.FORNECIMENTO E COLOCACAO</t>
  </si>
  <si>
    <t>14.003.0225-A</t>
  </si>
  <si>
    <t>banheiro auditório fem: (0,8m x 2un) x 1,8m + banheiro auditório masc: ( 0,8m x1un x 1,8m) + vestiário masculino: ( 0,8m x 1,8m x 2un)</t>
  </si>
  <si>
    <t>FERRAGENS PARA PORTAS DE ABRIR,DE FERRO OU ALUMINIO,CONSTANDO DE FORNECIMENTO DAS PECAS,EXCLUSIVE DOBRADICAS:-FECHADURADE CILINDRO OVALADO PARA MONTANTES ESTREITOS,EM LATAO,ACABAMENTO CROMADO;-ESPELHO RETANGULAR,EM LATAO,ACABAMENTO CROMADOOU ROSETA CIRCULAR,EM LATAO,ACABAMENTO CROMADO;-MACANETA TIPO ALAVANCA,EM LATAO,ZAMAK OU ACO ZINCADO,ACABAMENTO CROMADO</t>
  </si>
  <si>
    <t>14.007.0266-A</t>
  </si>
  <si>
    <t>banheiro auditório fem:  2un+ banheiro auditório masc: 1un  + vestiário masculino: 2un)</t>
  </si>
  <si>
    <t>banheiro auditório fem: 1 um + banheiro auditório masc: 1 un + cabine de projeção: 1 un + salas educação infantil (1,2,3,4):  4 un + área de serviço: 1 um</t>
  </si>
  <si>
    <t>FECHADURA PARA PORTAS DE MADEIRA DE BANHEIRO,CONSTANDO DE FORNECIMENTO DAS PECAS:-FECHADURA TIPO TRANQUETA,TRINCO REVERSIVEL,EM LATAO,ACABAMENTO CROMADO;-MACANETA TIPO ALAVANCA,EMLATAO,COM ACABAMENTO CROMADO;-ENTRADA,ROSETA E TRANQUETA CIRCULARES,EM LATAO,ACABAMENTO CROMADO</t>
  </si>
  <si>
    <t>14.007.0263-A</t>
  </si>
  <si>
    <t>14.007.0170-A</t>
  </si>
  <si>
    <t>FERRAGENS PARA PORTAS(CONJUNTO COMPLETO) DE 1 FOLHA C/BANDEIRA DE VIDRO TEMPERADO DE 10MM,CONSTANDO DE FORNECIMENTO SEMCOLOCACAO(ESTA INCLUIDA NO FORNECIMENTO E COLOCACAO DO VIDRO),EXCLUSIVE MOLA HIDRAULICA DE PISO(VIDE ITEM 14.007.0190)</t>
  </si>
  <si>
    <t>14.007.0165-A</t>
  </si>
  <si>
    <t>secretaria:  1 um</t>
  </si>
  <si>
    <t>REVESTIMENTO VERTICAL EM DIVISORIAS OU BANCADAS(ILHARGA)EM GRANITO CINZA CORUMBA,2CM DE ESPESSURA,ASSENTE COMO EM 13.0360010</t>
  </si>
  <si>
    <t>13.036.0050-A</t>
  </si>
  <si>
    <t>TORNEIRA PARA PIA OU TANQUE,1158 DE 1/2"X18CM APROXIMADAMENTE,EM METAL CROMADO.FORNECIMENTO</t>
  </si>
  <si>
    <t>banheiro infantil fem: 1 un+  banheiro infantil masculino: 1 un+ banheiro funcionário fem: 1 um+ banheiro funcionário masc: 1 um+ banheiro auditório fem: 1 um+ banheiro auditório masc: 1 um +banheiro camarim: 1 um+lavabo direção: 1 um+ lavabo secretaria: 1 un+ vestiário fem: 1 un+ vestiário masculino: 1 un +cozinha (lavatório): 1 un</t>
  </si>
  <si>
    <t>SUBSTITUIÇÕES: Banheiro auditório fem: 2 um+ banheiro auditório masc: 1 um + banheiro infantil fem: 2 um+ banheiro infantil fem: 2 um+lavabo direção: 1 um+ lavabo secretaria: 1 um+ banheiro funcionário masc: 1 um + banheiro funcionário fem: 1 um +vestiário fem: 3 un + vestiário masc: 3 un +cozinha: 4 un + lavatório (cozinha): 1 un</t>
  </si>
  <si>
    <t>ARRANCAMENTO DE APARELHOS SANITARIOS</t>
  </si>
  <si>
    <t>05.001.0145-A</t>
  </si>
  <si>
    <t>2 unidades (tanques) + 1 um (tanque de panelões)</t>
  </si>
  <si>
    <t xml:space="preserve">2 unidades </t>
  </si>
  <si>
    <t>INSTALACAO E ASSENTAMENTO DE PIA COM 2 CUBAS(EXCLUSIVE FORNECIMENTO DO APARELHO),COMPREENDENDO:3,00M DE TUBO DE PVC DE 25MM,3,00M DE TUBO DE PVC DE 50MM E CONEXOES</t>
  </si>
  <si>
    <t>15.004.0061-A</t>
  </si>
  <si>
    <t>cozinha: 2 um</t>
  </si>
  <si>
    <t>CUBA DUPLA DE ACO INOXIDAVEL DE 820X340X150MM,EM CHAPA 20.304,2 VALVULAS DE ESCOAMENTO TIPO AMERICANA 1623,2 SIFOES 16801.1/2"X1.1/2",EXCLUSIVE TORNEIRA.FORNECIMENTO E COLOCACAO</t>
  </si>
  <si>
    <t>18.016.0042-A</t>
  </si>
  <si>
    <t>hall auditório: 1unidade</t>
  </si>
  <si>
    <t>hall auditório + secretaria: 2unidade</t>
  </si>
  <si>
    <t>banheiro camarim: (0,71m x 0,45m) + banheiro auditório masc: (0,6m x1,0m) +banheiro auditório fem: (0,6m x 1,65m) + banheiro infantil masc:(1,2m x 0,6m) +banheiro infantil fem: (1,75m x 0,6m) + lavabo secretaria:(0,4m x 0,8m) +lavatório cozinha: (0,70m x 0,5m)</t>
  </si>
  <si>
    <t>ARRANCAMENTO DE BANCADA DE PIA/LAVATORIO OU BANCA SECA DE ATE 1,00M DE ALTURA E ATE 0,80M DE LARGURA</t>
  </si>
  <si>
    <t>M</t>
  </si>
  <si>
    <t>05.001.0146-A</t>
  </si>
  <si>
    <t>DEMOLICAO MANUAL DE CONCRETO ARMADO COMPREENDENDO PILARES,VIGAS E LAJES,EM ESTRUTURA APRESENTANDO POSICAO ESPECIAL,INCLUSIVE EMPILHAMENTO LATERAL DENTRO DO CANTEIRO</t>
  </si>
  <si>
    <t>05.001.0002-B</t>
  </si>
  <si>
    <t xml:space="preserve">abrigo de gas (piso e cobertura): (0,65m x 1,25m x 1un x 0,06m) +(0,65m x 1,25m x 1un x 0,1m) </t>
  </si>
  <si>
    <t>prateleiras dispensa: (1,9m+ 4,0m+1,6m +2,75m) x 0,2m x 5 um</t>
  </si>
  <si>
    <t>INSTALACAO E ASSENTAMENTO DE MICTORIO(EXCLUSIVE FORNECIMENTODO APARELHO),COMPREENDENDO:3,00M DE TUBO DE PVC DE 25MM,1,50M DE TUBOS DE PVC DE 40MM E 50MM,CADA,CONEXOES E RALO SIFONADO DE PVC COM 100X100X50MM COM TAMPA CEGA</t>
  </si>
  <si>
    <t>MICTORIO DE LOUCA BRANCA COM SIFAO INTEGRADO E MEDIDAS EM TORNO DE 33X28X53CM.FERRAGENS EM METAL CROMADO:REGISTRO DE PRESSAO 1416 DE 1/2" E TUBO DE LIGACAO DE 1/2".FORNECIMENTO</t>
  </si>
  <si>
    <t>15.004.0050-A</t>
  </si>
  <si>
    <t>18.002.0055-A</t>
  </si>
  <si>
    <t>SEQ.</t>
  </si>
  <si>
    <t>ELEMENTAR</t>
  </si>
  <si>
    <t>DESCRIÇÃO</t>
  </si>
  <si>
    <t>REUTILIZ.</t>
  </si>
  <si>
    <t>QUANT.</t>
  </si>
  <si>
    <t>PERC.</t>
  </si>
  <si>
    <t>PREÇO</t>
  </si>
  <si>
    <t>REFER.</t>
  </si>
  <si>
    <t>TOTAL</t>
  </si>
  <si>
    <t>001</t>
  </si>
  <si>
    <t>01605</t>
  </si>
  <si>
    <t>ARGAMASSA CIM.,AREIA TRACO 1:3,PREPAROMECANICO</t>
  </si>
  <si>
    <t>0,03000000</t>
  </si>
  <si>
    <t>0,00</t>
  </si>
  <si>
    <t>C:\Documents and Settings\danilo.chagas\Desktop\2014 - boletim emop\09_2014\ELEM0914.DBF</t>
  </si>
  <si>
    <t>002</t>
  </si>
  <si>
    <t>01976</t>
  </si>
  <si>
    <t>MAO-DE-OBRA DE MARMORISTA DE MARMORE E GRANITO, INCLUSIVE ENCARGOS SOCIAIS</t>
  </si>
  <si>
    <t>H</t>
  </si>
  <si>
    <t>2,00000000</t>
  </si>
  <si>
    <t>3,00</t>
  </si>
  <si>
    <t>003</t>
  </si>
  <si>
    <t>01999</t>
  </si>
  <si>
    <t>MAO-DE-OBRA DE SERVENTE DA CONSTRUCAO CIVIL, INCLUSIVE ENCARGOS SOCIAIS</t>
  </si>
  <si>
    <t>004</t>
  </si>
  <si>
    <t>03077</t>
  </si>
  <si>
    <t>PASTA DE CIMENTO COMUM</t>
  </si>
  <si>
    <t>005</t>
  </si>
  <si>
    <t>1,05000000</t>
  </si>
  <si>
    <t>13.368.0012-F</t>
  </si>
  <si>
    <t>REVESTIMENTO DE BANCADAS OU ILHARGAS, COM GRANITO CINZA ANDORINHA, EM PLACA DE 2CM DE ESPESSURA, ACABAMENTO POLIDO, ASSENTECOM NATA DE CIMENTO SOBRE ARGAMASSA DE CIMENTO E AREIA, NOTRACO 1:3</t>
  </si>
  <si>
    <t>GRANITO CINZA ANDORINHA, POLIDO, ESPESSURADE 2CM</t>
  </si>
  <si>
    <t>FERRAGENS PARA PAINEIS FIXOS DE VIDRO TEMPERADO DE 10MM(CONJUNTO COMPLETO),CONSTANDO DE FORNECIMENTO SEM COLOCACAO(ESTAINCLUIDA NO FORNECIMENTO E COLOCACAO DO VIDRO)</t>
  </si>
  <si>
    <t>14.007.0195-A</t>
  </si>
  <si>
    <t>Balcão secretaria: 1 um</t>
  </si>
  <si>
    <t>hall auditório: (4,65 x 2,10m) - porta P7 + secretaria:  (0,8m x 2,10m) + balcão secretaria: (5,30m x 0,9m)</t>
  </si>
  <si>
    <t>FORRACAO DE PISO COM CARPETE DE 4,5MM DE ESPESSURA</t>
  </si>
  <si>
    <t>13.395.0015-A</t>
  </si>
  <si>
    <t>Auditório: 182,35m²</t>
  </si>
  <si>
    <t>LAJE PRE-MOLDADA BETA 12,PARA SOBRECARGA DE 3,5KN/M2 E VAO DE 4,10M,CONSIDERANDO VIGOTAS,TIJOLOS E ARMADURA NEGATIVA,INCLUSIVE CAPEAMENTO DE 4CM DE ESPESSURA,COM CONCRETO FCK=20MPAE ESCORAMENTO.FORNECIMENTO E MONTAGEM DO CONJUNTO</t>
  </si>
  <si>
    <t>11.030.0050-A</t>
  </si>
  <si>
    <t>PISO CIMENTADO,COM 1,5CM DE ESPESSURA,COM ARGAMASSA DE CIMENTO E AREIA,NO TRACO 1:3,ALISADO A COLHER,COM CORANTE, SOBREBASE EXISTENTE</t>
  </si>
  <si>
    <t>13.301.0082-A</t>
  </si>
  <si>
    <t>CONTRAPISO,BASE OU CAMADA REGULARIZADORA,EXECUTADA COM ARGAMASSA DE CIMENTO E AREIA,NO TRACO 1:4,NA ESPESSURA DE 3CM</t>
  </si>
  <si>
    <t>13.301.0125-B</t>
  </si>
  <si>
    <t>ATERRO COM MATERIAL DE 1ªCATEGORIA,COMPACTADO MANUALMENTE EMCAMADAS DE 20CM,ATE UMA ALTURA MAXIMA DE 80CM,PARA SUPORTEDE CAMADA DE CONCRETO,INCLUSIVE DOIS TIROS DE PA,ESPALHAMENTO E REGA,EXCLUSIVE FORNECIMENTO DA TERRA</t>
  </si>
  <si>
    <t>03.009.0004-A</t>
  </si>
  <si>
    <t>elevação de piso (sala da educação infantil 03) : 16m² x 0,37m</t>
  </si>
  <si>
    <t>AREIA PARA A REGIAO DE MACAE,EXCLUSIVE TRANSPORTE,INCLUSIVECARGA NO CAMINHAO.FORNECIMENTO</t>
  </si>
  <si>
    <t>20.113.0015-A</t>
  </si>
  <si>
    <t>REMOCAO DE FORRO OU LAMBRI DE FRISOS DE MADEIRA OU PVC,PLACAS DE AGLOMERADO PRENSADO OU SEMELHANTES,EXCLUSIVE O ENGRADAMENTO</t>
  </si>
  <si>
    <t>05.001.0074-A</t>
  </si>
  <si>
    <t>PISO DE MARMORITE,COMPREENDENDO:A)LASTRO,COM 4CM DE ESPESSURA MEDIA,DE ARGAMASSA DE CIMENTO E AREIA GROSSA,NO TRACO 1:4;B) CAMADA DE MARMORITE,COM 1CM DE ESPESSURA,FEITA COM GRANANº1 DE GRANITO PRETO E CIMENTO,SUPERFICIE ESTUCADA APOS AFUNDICAO,COM 3 POLIMENTOS MECANICOS,EXCLUSIVE JUNTA</t>
  </si>
  <si>
    <t>13.380.0011-A</t>
  </si>
  <si>
    <t xml:space="preserve"> EMOP, SINAPI, Ano referência :03/2022</t>
  </si>
  <si>
    <t>parede área de serviço: (0,15m x 2,20m x 1,75m) +abrigo de gas: (0,6m + 1,25m) x (1,0m x 0,10m)</t>
  </si>
  <si>
    <t>PORTA DE FERRO TAMANHO NORMAL,ATE 1.00M LARGURA,CONTORNO EMBARRAS 1.1/4"X5/16",GUARNICAO EM CANTONEIRA 1.1/2"X1/8",INFERIORMENTE,ALMOFADA DE CHAPA Nº16,NOS DOIS LADOS C/60CM DE ALTURA,NA PARTE SUPERIOR,POSTIGO MOVEL P/VIDRO,GRADE DE BARRAS5/8",UTILIZANDO TRES DOBRADICAS DE 3"X4" DE FERRO GALVANIZADO C/PINO,BOLAS E ANEIS LATAO.EXCL.FECHADURA.FORN.E COLOC.</t>
  </si>
  <si>
    <t>14.002.0012-A</t>
  </si>
  <si>
    <t>Portão do gás: (0,8 x 1,0m)</t>
  </si>
  <si>
    <t>Item modificado: ilha (cozinha):  2,0m x 3,10m + bancada secretaria: (5,30m x 0,37m)</t>
  </si>
  <si>
    <t>REMOCAO DE FRISOS DE ASSOALHO,EXCLUSIVE BARROTES OU GRAZEPES</t>
  </si>
  <si>
    <t>05.001.0079-A</t>
  </si>
  <si>
    <t>Palco de madeira (auditório): 52,04m²</t>
  </si>
  <si>
    <t>11.001.0001-B</t>
  </si>
  <si>
    <t>CONCRETO DOSADO RACIONALMENTE PARA UMA RESISTENCIA CARACTERISTICA A COMPRESSAO DE 10MPA,COMPREENDENDO APENAS O FORNECIMENTO DOS MATERIAIS,INCLUSIVE 5% DE PERDAS</t>
  </si>
  <si>
    <t>03.009.0006-A</t>
  </si>
  <si>
    <t>ATERRO COM MATERIAL DE 1ª CATEGORIA,COMPACTADO MANUALMENTE EM CAMADAS DE 20CM DE MATERIAL APILOADO,PROVENIENTE DE JAZIDADISTANTE ATE 2KM,INCLUSIVE ESCAVACAO,CARGA,TRANSPORTE EM CAMINHAO BASCULANTE,DESCARGA,ESPALHAMENTO E IRRIGACAO MANUAIS</t>
  </si>
  <si>
    <t xml:space="preserve">palco de concreto </t>
  </si>
  <si>
    <t xml:space="preserve"> 52,03 m² x 0,8m</t>
  </si>
  <si>
    <t>13.002.0011-B</t>
  </si>
  <si>
    <t>REVESTIMENTO EXTERNO,DE UMA VEZ,COM ARGAMASSA DE CIMENTO,SAIBRO MACIO E AREIA FINA,NO TRAÇO 1:3:3,COM ESPESSURA DE 2,5CM,INCLUSIVE CHAPISCO DE CIMENTO E AREIA,NO TRACO 1:3,COM ESPESSURA DE 9MM</t>
  </si>
  <si>
    <t>Educação infantil sala 03: 16,05m² + abrigo de gás :(0,65m x 1,25m) + abrigo lixeiras: (2,7m x 1,30m)</t>
  </si>
  <si>
    <t>abrigo de gás :(0,65m x 1,25m) + abrigo lixeiras: (2,7m x 1,30m)</t>
  </si>
  <si>
    <t>Sala educação infantil 03: 17,66m² +abrigo de gas ( cobertura)+(0,65m x 1,25m x 1un x 0,1m) + abrigo das lixeiras: (1,45m x 2,0m)</t>
  </si>
  <si>
    <t>Acesso lixeiras: (1,7m x 1,85m)</t>
  </si>
  <si>
    <t>banheiro auditório fem: (0,8m x 2,10m x 2,5lados) + banheiro auditório masc: (0,8m x 2,10m x 2,5lados+ banheiro camarim: (0,8m x 2,10m x 2,5lados+ cabine de projeção:(0,8m x 2,10m x 2,5lados + salas educação infantil (1,2,3,4):  (0,8m x 2,10m x 2,5lados x 4 unidades+ P10 e P11: (1,8m x 2,1m x 2,5 lados x 2 un) + hall de serviço: (1,2m x 2,10m x 2,5 lados) +área de serviço: (0,8m x 2,10m x 2,5lados) + acesso lixeira: (1,7m x 1,85m x 2,5 lados)</t>
  </si>
  <si>
    <t xml:space="preserve">ABRIGO DAS LIXEIRAS: viga e cinta: (4,9m x 0,15m x 0,2m) + (4,9m x 0,15m x0,15m) +pilares: (4un x 0,15m x0,15m x1,85m) +sapatas: (0,5m x 0,5m x0,25mx 4un) + ABRIGO DO GÁS: :viga e cinta: (2,65m x 0,15m x 0,2m) + (2,65m x 0,15m x0,15m) +pilares: (2un x 0,15m x0,15m x1,85m) +sapatas: (0,5m x 0,5m x0,25mx 2un) </t>
  </si>
  <si>
    <t>ABRIGO DAS LIXEIRAS :cinta: (0,15m x 0,05m x 4,9m) + sapatas: (0,5m x 0,5m x0,05m x 4un) +ABRIGO DO GÁS :cinta: (0,15m x 0,05m x 2,65m) + sapatas: (0,5m x 0,5m x0,05m x 2un)</t>
  </si>
  <si>
    <t>abrigo de gas:( (0,6m +0,6m + 1,25m) x 1,0m  + acesso às lixeiras: (1,45m+1,45m+2,0m) x 1,85m)) X 2 LADOS</t>
  </si>
  <si>
    <t>17.018.0020-A</t>
  </si>
  <si>
    <t>PINTURA COM TINTA LATEX,CLASSIFICAÇÃO ECONÔMICA (NBR 15079),FOSCO AVELUDADA EM REVESTIMENTO LISO,INTERIOR,ACABAMENTO PADRÃO,EM DUAS DEMÃOS SOBRE A SUPERFÍCIE PREPARADA,CONFORME O ITEM 17.018.0010,EXCLUSIVE ESTE PREPARO</t>
  </si>
  <si>
    <t>parede área de serviço: (( 1,74m x 2,2m) + elevação de peitoril ( sala de educação infantil 03) : (0,37m x 6,4m) +ilha da cozinha:  (2,0m +2,0m+3,0m+3,0m) ) x 2 lados +banheiro camarim/ camarim : (3,1m x2,65m)</t>
  </si>
  <si>
    <t>Porta P7: (4,65m x 2,10m) + SECRETARIA: janelas : (1,4m x 2,4m x 2 um) + (3,0m x 0,9m) +porta: (0,8m x 2,10m) + COZINHA: janela: ( 4,5m x 1,4m) +porta: (0,9m x 2,10m)</t>
  </si>
  <si>
    <t>Educação infantil sala 03: 16,05m² + PISOS PARA CONSTRUÇÃO DE BANHEIROS (SUBSTITUIÇÃO)+banheiro camarim: (3,22m² ) +lavabo secretaria: 1,76m²</t>
  </si>
  <si>
    <t>FORRO TERMOACUSTICO COM PAINEL DE LA DE VIDRO,REVESTIDO PORPELICULAS DE PVC MICROPERFURADAS,SOBRE PERFIS METALICOS,COMTIRANTES RIGIDOS,EM PLACA DE 1250X625X15MM.FORNECIMENTO E COLOCACAO</t>
  </si>
  <si>
    <t>13.190.0015-A</t>
  </si>
  <si>
    <t>REMOCAO DE CALHAS E CONDUTORES</t>
  </si>
  <si>
    <t>05.001.0072-A</t>
  </si>
  <si>
    <t>troca das calhas existentes: 225m</t>
  </si>
  <si>
    <t>16.002.0010-A</t>
  </si>
  <si>
    <t>COBERTURA EM TELHA CERAMICA COLONIAL,EXCLUSIVE CUMEEIRA E MADEIRAMENTO.MEDIDA PELA AREA REAL DE COBERTURA.FORNECIMENTO ECOLOCACAO</t>
  </si>
  <si>
    <t xml:space="preserve">Coordenação, secretaria e direção: 44m² +entorno do auditório: 44m² </t>
  </si>
  <si>
    <t xml:space="preserve">Coordenação, secretaria e direção: 44m² +entorno do auditório: 44m² +substituição de telhas danificadas: 10% da área total: 140m² </t>
  </si>
  <si>
    <t>REMOCAO DE COBERTURA EM TELHAS COLONIAIS,MEDIDA PELA AREA REAL DE COBERTURA,EXCLUSIVE MADEIRAMENTO</t>
  </si>
  <si>
    <t>05.001.0043-A</t>
  </si>
  <si>
    <t>16.001.0051-A</t>
  </si>
  <si>
    <t>MADEIRAMENTO PARA COBERTURA EM DUAS AGUAS EM TELHAS CERAMICAS,CONSTITUIDO DE CUMEEIRA E TERCAS DE 3"X4.1/2",CAIBROS DE 3"X1.1/2",RIPAS DE 1,5X4CM,TUDO EM MADEIRA APARELHADA,SEM TESOURA OU PONTALETE,MEDIDO PELA AREA REAL DO MADEIRAMENTO.FORNECIMENTO E COLOCACAO</t>
  </si>
  <si>
    <t>18.016.0106-A</t>
  </si>
  <si>
    <t>BARRA DE APOIO,PARA PESSOAS COM NECESSIDADES ESPECIFICAS,EMTUBO DE 1.1/2" DE ACO INOXIDAVEL,AISI-304,LIGA 18.8,COM 80CM.FORNECIMENTO E COLOCACAO</t>
  </si>
  <si>
    <t>banheio PNE:  2 unidades</t>
  </si>
  <si>
    <t xml:space="preserve">PAREDES: Fachada: 929,82m² + fachada auditório: 470,87m² + muro: 143,72m² </t>
  </si>
  <si>
    <t>05.006.0001-B</t>
  </si>
  <si>
    <t>ALUGUEL DE ANDAIME COM ELEMENTOS TUBULARES (FACHADEIRO) SOBRE SAPATAS FIXAS, CONSIDERANDO-SE A AREA DA PROJEÇÃO VERTICAL DO ANDAIME E PAGO PELO TEMPO NECESSARIO A SUA UTILIZAÇÃO, EXCLUSIVE TRANSPORTE DOS ELEMENTOS DO ANDAIME ATE A OBRA, PLATAFORMA OU PASSARELA DE PINHO, MONTAGEM E DESMONTAGEM DOS ANDAIMES</t>
  </si>
  <si>
    <t>M2XMÊS</t>
  </si>
  <si>
    <t>05.005.0014-A</t>
  </si>
  <si>
    <t>PLATAFORMA OU PASSARELA DE MADEIRA DE 1ª,CONSIDERANDO-SE APROVEITAMENTO DA MADEIRA 60 VEZES,EXCLUSIVE ANDAIME OU OUTRO SUPORTE E MOVIMENTAÇÃO (VIDE ITEM 05.008.0008)</t>
  </si>
  <si>
    <t>05.008.0001-A</t>
  </si>
  <si>
    <t>MONTAGEM E DESMONTAGEM DE ANDAIME COM ELEMENTOS TUBULARES,CONSIDERANDO-SE A ÁREA VERTICAL RECOBERTA</t>
  </si>
  <si>
    <t>04.020.0122-A</t>
  </si>
  <si>
    <t>TRANSPORTE DE ANDAIME TUBULAR,CONSIDERANDO-SE A ÁREA DE PROJEÇÃO VERTICAL DO ANDAIME,EXCLUSIVE CARGA,DESCARGA E TEMPO DE ESPERA DO CAMINHÃO (VIDE ITEM 04.021.0010)</t>
  </si>
  <si>
    <t>M2XKM</t>
  </si>
  <si>
    <t>04.021.0010-A</t>
  </si>
  <si>
    <t>CARGA E DESCARGA MANUAL DE ANDAIME TUBULAR,INCLUSIVE TEMPO DE ESPERA DO CAMINHÃO,CONSIDERANDO-SE A ÁREA DE PROJEÇÃO VERTICAL</t>
  </si>
  <si>
    <t>ESCADA DE MADEIRA DE 3ª EXECUTADA SOBRE TERRENO COM INCLINACAO MEDIA ATE 45°,COM 0,80M DE LARGURA,CONSIDERANDO 30% DE APROVEITAMENTO DA MADEIRA,EXCLUSIVE ANCORAGEM</t>
  </si>
  <si>
    <t>05.005.0018-A</t>
  </si>
  <si>
    <t>5,18m</t>
  </si>
  <si>
    <t>Escada do auditório</t>
  </si>
  <si>
    <t>13.001.0026-A</t>
  </si>
  <si>
    <t>EMBOCO COM ARGAMASSA DE CIMENTO E AREIA,NO TRACO 1:3 COM 2CMDE ESPESSURA,INCLUSIVE CHAPISCO DE CIMENTO E AREIA,NO TRACO1:3,COM 9MM DE ESPESSURA</t>
  </si>
  <si>
    <t>TRANSPORTE DE CARGA DE QUALQUER NATUREZA,EXCLUSIVE AS DESPESAS DE CARGA E DESCARGA,TANTO DE ESPERA DO CAMINHAO COMO DO SERVENTE OU EQUIPAMENTO AUXILIAR,A VELOCIDADE MEDIA DE 30KM/H,EM CAMINHAO BASCULANTE A OLEO DIESEL,COM CAPACIDADE UTIL DE12T</t>
  </si>
  <si>
    <t>T X KM</t>
  </si>
  <si>
    <t>04.005.0143-B</t>
  </si>
  <si>
    <t>13.003.0001-A</t>
  </si>
  <si>
    <t>REVESTIMENTO INTERNO,DE UMA VEZ,MASSA UNICA OU EMBOÇO PAULISTA COM ARGAMASSA DE CIMENTO,CAL,SAIBRO MACIO E AREIA FINA,NOTRACO 1:4:4:4, ESPESSURA DE 2CM ACABAMENTO CAMURCADO, APLICADO SOBRE SUPERFICIE CHAPISCADA, EXCLUSIVE CHAPISCO</t>
  </si>
  <si>
    <t>13.001.0010-B</t>
  </si>
  <si>
    <t>CHAPISCO EM SUPERFÍCIE DE CONCRETO OU ALVENARIA,COM ARGAMASSA DE CIMENTO E AREIA,NO TRAÇO 1:3,ESPESSURA DE 9MM</t>
  </si>
  <si>
    <t>13.380.0016-A</t>
  </si>
  <si>
    <t>RODAPE DE MARMORITE,FUNDIDO NO LOCAL,COM 10CM DE ALTURA,1CMDE ESPESSURA, TERMINANDO EM CANTO RETO JUNTO AO PISO, FEITOCOM CIMENTO E  GRANA Nº1 DE GRANITO PRETO,COM POLIMENTO MANUAL,O MARMORITE E EXECUTADO SOBRE EMBOCO PREVIO NAO INCLUIDONESTA</t>
  </si>
  <si>
    <t>banheiro camarim: (2,3m +2,3m+ 1,4m +1,4m + camarim : 2,45m  +1,55m + lavabo secretaria: (1,6m +1,60m +1,10m +1,10m)</t>
  </si>
  <si>
    <t xml:space="preserve">Banheiro auditório masc: (2,47m+3,54m+2,35m+2,56m) x 2,6m + Banheiro auditório fem: (2,35m+2,56m+3,54m4,55m) x 2,6m + banheiro infantil masc: (2,35m+2,35m+3,3m+3,3m) x 2,6m +banheiro infantil fem:(3,3m +3,3m+2,35m+2,35m) x 2,6m + lavabo direção: ( 1,10m +1,10m+1,67m+1,67m) x 2,6m + banheiros funcionários fem: (1,72m +1,72m+2,97m+2,97m) x 2,6m+  banheiros funcionários masc: (1,72m +1,72m+2,97m+2,97m) x 2,6m+ banheiro PNE: (2,0m+2,0m+ 1,72m+1,72m) x 2,6m + escovódromo: (4,85m +4,85m+3,6m+3,6m) x 2,6m + vest. masc: (3,6m+3,6m+6,1m+6,1m) x 2,6m +vest. fem: (3,6m+3,6m+6,1m+6,1m) x 2,6m </t>
  </si>
  <si>
    <t xml:space="preserve">banheiro infantil masc: (2,35m+2,35m+3,3m+3,3m) x 1,0m +banheiro infantil fem:(3,3m +3,3m+2,35m+2,35m) x 1,0m +Banheiro auditório masc: (2,47m+3,54m+2,35m+2,56m) x 1,0m + Banheiro auditório fem: (2,35m+2,56m+3,54m4,55m) x 1,0m + vest. masc: (3,6m+3,6m+6,1m+6,1m) x 1,0m +vest. fem: (3,6m+3,6m+6,1m+6,1m) x 1,0m +lavabo direção: ( 1,10m +1,10m+1,67m+1,67m) x 2,6m  + banheiros funcionários fem: (1,72m +1,72m+2,97m+2,97m) x 1,0m+  banheiros funcionários masc: (1,72m +1,72m+2,97m+2,97m) x 1,0m+banheiro PNE: (2,0m+2,0m+ 1,72m+1,72m) x 1,0m + escovódromo: (4,85m +4,85m+3,6m+3,6m) x 1,0m </t>
  </si>
  <si>
    <t>(banheiro infantil masc: (2,35m+2,35m+3,3m+3,3m) x 1,0m +banheiro infantil fem:(3,3m +3,3m+2,35m+2,35m) x 1,0m +Banheiro auditório masc: (2,47m+3,54m+2,35m+2,56m) x 1,0m + Banheiro auditório fem: (2,35m+2,56m+3,54m4,55m) x 1,0m + vest. masc: (3,6m+3,6m+6,1m+6,1m) x 1,0m +vest. fem: (3,6m+3,6m+6,1m+6,1m) x 1,0m +lavabo direção: ( 1,10m +1,10m+1,67m+1,67m) x 2,6m +lavabo secretaria: (1,6m +1,6m+ 1,10m +1,1m) x 2,6m + banheiros funcionários fem: (1,72m +1,72m+2,97m+2,97m) x 1,0m+  banheiros funcionários masc: (1,72m +1,72m+2,97m+2,97m) x 1,0m+banheiro PNE: (2,0m+2,0m+ 1,72m+1,72m) x 1,0m + escovódromo: (4,85m +4,85m+3,6m+3,6m) x 1,0m ) x 0,010m x 1,5 (fator emop)</t>
  </si>
  <si>
    <t>ASSENTAMENTO DE BANCADAS OU ILHARGAS,COM PLACAS DE MARMORE OU GRANITO,EXCLUSIVE ESTAS,EM SUPERFICIE EM OSSO,COM NATA DECIMENTO SOBRE ARGAMASSA DE CIMENTO,AREIA E SAIBRO,NO TRACO 1:2:2,COM ESPESSURA MEDIA DE 3,5CM E REJUNTAMENTO DE CIMENTOBRANCO E CORANTE</t>
  </si>
  <si>
    <t>13.330.0023-A</t>
  </si>
  <si>
    <t>não contempla novas bancadas: BANHEIRO INFANTIL MASC:(0,6m x 1,22m)+ BANHEIRO INFANTIL FEM: (0,6m x 1,76m) + BANHEIRO AUD. FEM: (0,6 x 1,65m) +BANHEIRO AUD. MASC: (0,6 x 1,0m) + LAVABO SECRETARIA : (0,45m x 1,0m ) + BANHEIRO FUNC. FEM: (0,6m x 0,7m)  + BANHEIRO FUNC. MASC: (0,6m x 1,12m) + VESTIÁRIOS: (2,35m x 0,6m x 2un)</t>
  </si>
  <si>
    <t>não contempla novas bancadas: BANHEIRO INFANTIL MASC:1,22m+ BANHEIRO INFANTIL FEM:  1,76m + BANHEIRO AUD. FEM:  1,65m +BANHEIRO AUD. MASC: 1,0m + LAVABO SECRETARIA : 1,0m + BANHEIRO FUNC. FEM: 0,7m  + BANHEIRO FUNC. MASC: 1,12m + VESTIÁRIOS: (2,35mx 2un)</t>
  </si>
  <si>
    <t>REMOCAO CUIDADOSA DE DIVISORIA DE GRANITO</t>
  </si>
  <si>
    <t>05.001.0100-A</t>
  </si>
  <si>
    <t>13.036.0050-F</t>
  </si>
  <si>
    <t>00289</t>
  </si>
  <si>
    <t>CABO SOLIDO DE COBRE ELETROLITICO NU, TEMPERA MOLE, CLASSE 2, SECAO CIRCULAR DE10,0 A 500,0MM2</t>
  </si>
  <si>
    <t>KG</t>
  </si>
  <si>
    <t>0,30000000</t>
  </si>
  <si>
    <t>2,50000000</t>
  </si>
  <si>
    <t>03429</t>
  </si>
  <si>
    <t>ARGAMASSA CIM.,SAIBRO,AREIA 1:3:3,PREPARO MANUAL</t>
  </si>
  <si>
    <t>0,02000000</t>
  </si>
  <si>
    <t>07798</t>
  </si>
  <si>
    <t>ARGAMASSA PARA REJUNTAMENTO PIGMENTADA,EMBALAGEM DE 5KG</t>
  </si>
  <si>
    <t>0,32000000</t>
  </si>
  <si>
    <t>REVESTIMENTO VERTICAL EM DIVISORIAS OU BANCADAS(ILHARGA)EM GRANITO CINZA CORUMBA,2CM DE ESPESSURA,ASSENTE COMO EM 13.0360010 - SEM FORNECIMENTO DO GRANITO</t>
  </si>
  <si>
    <t>BANHEIRO INFANTIL MASC : (1,20m x 2un x 1,80m) +BANHEIRO INFANTIL FEM  : (1,20m x 2un x 1,80m) + BANHEIRO FUNC. MASC: (1,75m x 1,80m) + BANHEIRO FUNC. FEM: (1,15m x 3un x 1,80m) + VEST. FEM: (8un x 1,15m x 1,80m) + VEST. MASC: (1,10m x 6un x 1,80m)</t>
  </si>
  <si>
    <t xml:space="preserve">   19 unidades (vasos) + 5 mictórios</t>
  </si>
  <si>
    <t>1.5</t>
  </si>
  <si>
    <t>1.6</t>
  </si>
  <si>
    <t>1.7</t>
  </si>
  <si>
    <t>1.8</t>
  </si>
  <si>
    <t>SOLEIRA,PEITORIL OU CHAPIM DE MARMORITE,PRE-MOLDADO EM OFICINA E ASSENTADO NA OBRA, COM OU SEM REBAIXO, FEITO COM GRANANº1 DE MARMORE BRANCO NACIONAL E CIMENTO,NA ESPESSURA DE 6MM</t>
  </si>
  <si>
    <t>13.380.0025-A</t>
  </si>
  <si>
    <t>ALVENARIA DE BLOCOS DE CONCRETO 10X20X40CM,ASSENTES COM ARGAMASSA DE CIMENTO E AREIA,NO TRACO 1:8,EM PAREDES DE 0,10M DEESPESSURA,DE SUPERFICIE CORRIDA,ATE 3,00M DE ALTURA E MEDIDAPELA AREA REAL</t>
  </si>
  <si>
    <t>12.005.0010-A</t>
  </si>
  <si>
    <t>05.054.0001-A</t>
  </si>
  <si>
    <t>PLACA DE ACRILICO PARA IDENTIFICACAO DE SALAS,MEDINDO 8X25CM,CONFORME DETALHE Nº6033/EMOP,POLIDA NAS BORDAS.FORNECIMENTOE COLOCACAO</t>
  </si>
  <si>
    <t>salas da educação infantil: 3 um</t>
  </si>
  <si>
    <t>RODAPE DE IPE OU MADEIRA EQUIVALENTE DE 10X2CM ACABAMENTO BOLEADO,FIXADO COMO EM 13.398.0020</t>
  </si>
  <si>
    <t>rodameio auditório (perímetro): 55,30m</t>
  </si>
  <si>
    <t>13.398.0030-A</t>
  </si>
  <si>
    <t>PORTAS: ((0,8m x 2,1m x 21 um) + (0,7m x 2,1m x2un) + (0,6m x 2,11m x1un) + (0,9m x2,1m x3un)) x 2,5 lados + RODAMEIO DE MADEIRA NAS SALAS: coordenação pedagógica: ((4,85m x 2un) + (3,60m x 2 un) + direção: (4,85m x2un) +(5,0m x 2un)+ secretaria: (6,10m x 2un) + (7,35m x 2 un) +refeitório: (7,50m x 2un) +salas de aula: (6,10m x 8 un)+ (12un x 7,35m) +(8,60m x 6un) +(4un x 8,59m) + sala de reforço: ( 6,10m + (3,60m x 2un)) x 0,1m</t>
  </si>
  <si>
    <t>REMOCAO DE RODAPES DE MADEIRA,CERAMICA OU SEMELHANTE</t>
  </si>
  <si>
    <t>05.001.0078-A</t>
  </si>
  <si>
    <t>vestiário fem e masc: (2,3m x 0,8m x 2un)+  + banheiro auditório masc: (0,95m x 0,8m) + banheiro auditório fem: (1,6m x 0,8m) + banheiro camarim: (0,7m x 0,8m) + lavabo secretaria: (0,80m x 0,80m) + lavabo direção: (1,0m x 0,80m) + banheiros funcionários cozinha fem: (0,60m x 0,8m)+ maculino: (1,0m x 0,80m)</t>
  </si>
  <si>
    <t>banheiro infantil fem: 1 un+  banheiro infantil masculino: 1 un+ banheiro funcionário fem: 1 um+ banheiro funcionário masc: 1 um+ banheiro auditório fem: 1 um+ banheiro auditório masc: 1 um +banheiro camarim: 1 um+lavabo direção: 1 um+ lavabo secretaria: 1 un+ vestiário fem: 3 un+ vestiário masculino: 3 un + lavatório (cozinha): 1 un+ escovódromo: 9 un</t>
  </si>
  <si>
    <t xml:space="preserve">Banheiro auditório fem: 2 un+ banheiro auditório masc: 1un + banheiro camarim: 1 um + lavabo secretaria: 1 un </t>
  </si>
  <si>
    <t>banheiro auditório masculino: 1 um</t>
  </si>
  <si>
    <t>Banheiro auditório fem: 2 um+ banheiro auditório masc: 1 um+ banheiro camarim: 1 um+ banheiro infantil masc: 1 um+ banheiro infantil fem: 2 um+ lavabo secretaria: 1 um + lavatório cozinha: 1 um</t>
  </si>
  <si>
    <t>ASSENTO SANITARIO PLASTICO,TIPO POPULAR.FORNECIMENTO E COLOCACAO</t>
  </si>
  <si>
    <t>18.005.0018-A</t>
  </si>
  <si>
    <t xml:space="preserve">banheiro camarim (auditório): 1 un + banheiros infantis fem e masc: 2 un +banheiros cozinha  : 2 un+ vestiário fem: 2 un+ vestiário masc: 2 um   </t>
  </si>
  <si>
    <t>sanitário direção: 1 um+ banheiros cozinha: 4 unidades + vestiários:  10 um</t>
  </si>
  <si>
    <t>salas de aula e pátio coberto: 80 unidades</t>
  </si>
  <si>
    <t>PORTA DE ALUMINIO ANODIZADO AO NATURAL DE CORRER,EM PERFIS SERIE 30,C/CONTRAMARCO,CONFORME PROJETO N°6010/EMOP,EXCLUSIVEFECHADURA.FORNECIMENTO E COLOCACAO</t>
  </si>
  <si>
    <t>14.003.0220-A</t>
  </si>
  <si>
    <t>BANCA DE GRANITO CINZA ANDORINHA,COM 3CM DE ESPESSURA,COM ABERTURA PARA 2 CUBAS(EXCLUSIVE ESTAS),SOBRE APOIOS DE ALVENARIA DE MEIA VEZ E VERGA DE CONCRETO,SEM REVESTIMENTO.FORNECIMENTO E COLOCACAO</t>
  </si>
  <si>
    <t>18.082.0051-A</t>
  </si>
  <si>
    <t>bancada cozinha (cozinha): (3,45m +5,47m )x 0,65m</t>
  </si>
  <si>
    <t>portas de armário (cozinha): (3,45m + 5,47m ) x 1,0m + armário (cantina) : (3,60m x 1,0m)</t>
  </si>
  <si>
    <t>CUBA DE ACO INOXIDAVEL DE 500X400X200MM,EM CHAPA 20.304,VALVULA DE ESCOAMENTO TIPO AMERICANA 1623,SIFAO 1680 1.1/2"X1.1/2",EXCLUSIVE TORNEIRA.FORNECIMENTO E COLOCACAO</t>
  </si>
  <si>
    <t>18.016.0040-A</t>
  </si>
  <si>
    <t>cantina: 1 unidade</t>
  </si>
  <si>
    <t>VENTILADOR DE TETO,COM 3 PAS EM ACO GALVANIZADO,INCLUSIVE INTERRUPTOR DE COMANDO.FORNECIMENTO E COLOCACAO</t>
  </si>
  <si>
    <t>18.035.0005-A</t>
  </si>
  <si>
    <t>Salas de aula :  (4 unidades x 10 salas) + salas da educação infantil : 2 un x (4 unidades)</t>
  </si>
  <si>
    <t xml:space="preserve">portão de entrada: (3,60m x 2,20m) +área de serviço, mudança posição da porta: (1,2x 2,10m) + portão de abrigo do gás: (0,8m x 1,0m) + remoção de vidro  sala de educação infantil: (3,0m x 0,9m x 2un) + arrancamento de portas (sala da educação infantil): (0,8m x 2,10m x 2un) </t>
  </si>
  <si>
    <t>CARGA E DESCARGA MECANICA DE AGREGADOS,TERRA,ESCOMBROS,MATERIAL A GRANEL,UTILIZANDO CAMINHAO BASCULANTE A OLEO DIESEL,COM CAPACIDADE UTIL DE 12T,CONSIDERANDO O TEMPO PARA CARGA,DESCARGA E MANOBRA,EXCLUSIVE DESPESAS COM A PA-CARREGADEIRA EMPREGADA NA CARGA,COM A CAPACIDADE DE 1,50M3</t>
  </si>
  <si>
    <t>T</t>
  </si>
  <si>
    <t>04.010.0046-A</t>
  </si>
  <si>
    <t xml:space="preserve">Carga e descarga x 15 km </t>
  </si>
  <si>
    <t>MOVIMENTACAO VERTICAL OU HORIZONTAL DE PLATAFORMA OU PASSARELA</t>
  </si>
  <si>
    <t>05.008.0008-B</t>
  </si>
  <si>
    <t>substituição de telhas danificadas: estimativa 10%: 140 m²</t>
  </si>
  <si>
    <t xml:space="preserve"> REPINTURA : 18,80 m de comprimento (maior comprimento) x 4,2 m de altura ( 5,7m – 1,50m) x 1 mês</t>
  </si>
  <si>
    <t xml:space="preserve"> REPINTURA:18,8m de comprimento (maior comprimento) x 1,0m de largura</t>
  </si>
  <si>
    <t xml:space="preserve">REPINTURA:  (18,8m+ 8,8m+10,22m) x 4,2m </t>
  </si>
  <si>
    <t xml:space="preserve">18,8 m ( maior comprimento) x 4,2 m ( 5,7m- 1,5m) x 100 km </t>
  </si>
  <si>
    <t xml:space="preserve"> REPINTURA : 18,8 m de comprimento (maior comprimento) x 4,2 m de altura ( 5,7m – 1,50m) </t>
  </si>
  <si>
    <t>RODAMEIO DE MADEIRA NAS SALAS PARA COLOCAÇÃO DE AZULEJO: salas de aula: (4 um x 8,6m ) + (6 um x 8,60m )+ sala de reforço:  6,10m</t>
  </si>
  <si>
    <t>banheiro infantil masc:1,2m +banheiro infantil fem:1,75m   +lavatório cozinha: 0,70m + balcão secretaria: 6, 10m +bancada cozinha (cozinha): (3,45m +5,47m )+  banheiro auditório feminino e masculino: 1,60m +1,0m</t>
  </si>
  <si>
    <t>Banheiro auditório masc: (2,47m+3,54m+2,35m+2,56m) x 2,6m + Banheiro auditório fem: (2,35m+2,56m+3,54m4,55m) x 2,6m  + banheiro camarim: (2,3m +2,3m+1,4m +1,4m) x 2,6m +sala educação infantil 01: ( 4,0m x 2,0m) + sala educação infantil 02: (4,5m x 2,0m) + sala da educação infantil 03: (5,5mx 2,0m) + sala educação infantil 04: ( 5,0m x 2,0m) + lavabo secretaria: (1,6m +1,6m+ 1,10m +1,1m) x 2,6m + sala de reforço: (6,1m x 2,0m) + salas de aula : (8,6m x 10 un) x 2m +area de serviço: (2,36m +2,36m +1,74m +1,74m) x 2,20m</t>
  </si>
  <si>
    <t xml:space="preserve">(parede área de serviço: ( 1,74m x 2,2m) +abrigo de gas: (0,6m +0,6m + 1,25m) x 1,0m  + elevação de peitoril ( sala de educação infantil 03) : (0,37m x 6,4m) + acesso às lixeiras: (1,45m+1,45m+2,0m) x 1,85m) X 2 LADOS </t>
  </si>
  <si>
    <t>banheiro camarim: 0,9m  +lavabo secretaria: 0,7m</t>
  </si>
  <si>
    <t>viga e cinta: (34,11m x 0,15m x 0,2m) + (34,11m x 0,15m x0,15m) +pilares: (11un x 0,15m x0,15m x0,8m) +sapatas: (0,5m x 0,5m x0,25mx 11un) + laje: 52,03m² x 0,10m</t>
  </si>
  <si>
    <t>cinta: (0,15m x 0,05m x 34,11m) + sapatas: (0,5m x 0,5m x0,05m x 11un)</t>
  </si>
  <si>
    <t>34,11m x 0,8m</t>
  </si>
  <si>
    <t>34,11m x 0,8m x 2 lados</t>
  </si>
  <si>
    <t>tanque de serviços a serem substituídos: 2 um</t>
  </si>
  <si>
    <t>REPARO: Vestiário masculino: 3un +banheiro auditório masculino: 1 um + banheiro infantil masculino: 1 um</t>
  </si>
  <si>
    <t>ESTIMATIVA: salas de aula e pátio coberto: 40 unidades</t>
  </si>
  <si>
    <t>03.001.0001-B</t>
  </si>
  <si>
    <t>ESCAVAÇÃO MANUAL DE VALA/CAVA EM MATERIAL DE 1ª CATEGORIA (A AREIA,ARGILA OU PICARRA),ATÉ 1,50M DE PROFUNDIDADE,EXCLUSIVE ESCORAMENTO E ESGOTAMENTO</t>
  </si>
  <si>
    <t>03.013.0001-B</t>
  </si>
  <si>
    <t>REATERRO DE VALA/CAVA COMPACTADA A MACO,EM CAMADAS DE 30CM DE ESPESSURA MAXIMA,COM MATERIAL DE BOA QUALIDADE,EXCLUSIVEESTE</t>
  </si>
  <si>
    <t>80% da escavação</t>
  </si>
  <si>
    <t xml:space="preserve">ABRIGO DAS LIXEIRAS: sapatas: (0,8m x 0,8m x0,8mx 4un) + ABRIGO DO GÁS: +sapatas: (0,8m x 0,8m x0,8mx 2un) 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</si>
  <si>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</si>
  <si>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</si>
  <si>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</si>
  <si>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</si>
  <si>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</si>
  <si>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</si>
  <si>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</si>
  <si>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</si>
  <si>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</si>
  <si>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</si>
  <si>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</si>
  <si>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</si>
  <si>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</si>
  <si>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</si>
  <si>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</si>
  <si>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</si>
  <si>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</si>
  <si>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</si>
  <si>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</si>
  <si>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</si>
  <si>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</si>
  <si>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2.3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</si>
  <si>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</si>
  <si>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</si>
  <si>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</si>
  <si>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</si>
  <si>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</si>
  <si>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</si>
  <si>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</si>
  <si>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</si>
  <si>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</si>
  <si>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</si>
  <si>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</si>
  <si>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</si>
  <si>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</si>
  <si>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</si>
  <si>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</si>
  <si>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</si>
  <si>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</si>
  <si>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REVESTIMENTO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</si>
  <si>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</si>
  <si>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</si>
  <si>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</si>
  <si>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</si>
  <si>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</si>
  <si>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</si>
  <si>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</si>
  <si>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</si>
  <si>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</si>
  <si>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</si>
  <si>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</si>
  <si>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</si>
  <si>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</si>
  <si>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</si>
  <si>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4.2</t>
  </si>
  <si>
    <t>5.1.1</t>
  </si>
  <si>
    <t>5.2.1</t>
  </si>
  <si>
    <t>5.2.2</t>
  </si>
  <si>
    <t>5.2.3</t>
  </si>
  <si>
    <t>5.2.4</t>
  </si>
  <si>
    <t>5.2.5</t>
  </si>
  <si>
    <t>5.2.6</t>
  </si>
  <si>
    <t>5.2.7</t>
  </si>
  <si>
    <t>ALVENARIAS E DIVISÓRIAS</t>
  </si>
  <si>
    <t>AUDITÓRIO</t>
  </si>
  <si>
    <t>EQUIPAMENTOS HIDROSSANITÁRIOS</t>
  </si>
  <si>
    <t>6.2</t>
  </si>
  <si>
    <t>6.3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</si>
  <si>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</si>
  <si>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</si>
  <si>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</si>
  <si>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</si>
  <si>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</si>
  <si>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</si>
  <si>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</si>
  <si>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</si>
  <si>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</si>
  <si>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</si>
  <si>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</si>
  <si>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</si>
  <si>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</si>
  <si>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</si>
  <si>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</si>
  <si>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</si>
  <si>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</si>
  <si>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</si>
  <si>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</si>
  <si>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</si>
  <si>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</si>
  <si>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EQUIPAMENTOS ELÉTRICOS</t>
  </si>
  <si>
    <t>7.2</t>
  </si>
  <si>
    <t>7.3</t>
  </si>
  <si>
    <t>9.1</t>
  </si>
  <si>
    <t>9.2</t>
  </si>
  <si>
    <t>9.3</t>
  </si>
  <si>
    <t>9.4</t>
  </si>
  <si>
    <t>9.5</t>
  </si>
  <si>
    <t>9.6</t>
  </si>
  <si>
    <t>9.7</t>
  </si>
  <si>
    <t>10.0</t>
  </si>
  <si>
    <t xml:space="preserve">COBERTURA </t>
  </si>
  <si>
    <t>5.3</t>
  </si>
  <si>
    <t>5.3.1</t>
  </si>
  <si>
    <t>5.3.2</t>
  </si>
  <si>
    <t>5.3.3</t>
  </si>
  <si>
    <t>CALHA DE ALUMINIO,0,30M,EM CHAPA DE ESPESSURA 0,8MM E DESENVOLVIMENTO 0,50M.FORNECIMENTO E COLOCACAO</t>
  </si>
  <si>
    <t>16.005.0015-A</t>
  </si>
  <si>
    <t>REPINTURA:  18,8m x 1,0m x 3 montagens</t>
  </si>
  <si>
    <t>75m x 2,20m</t>
  </si>
  <si>
    <t>15.003.0192-A</t>
  </si>
  <si>
    <t>RALO SIFONADO DE FERRO FUNDIDO PARA BANHEIRO DE SERVICO DN=100MM,COMPOSTO DE UMA ENTRADA E UMA SAIDA DN=50MM (PVC 40MMINTERNAMENTE),CONFORME PROJETO DE NORMA ABNT 02.243.25-16 (NBR 9651),REVESTIDO INTERNA E EXTERNAMENTE COM EPOXI NA COR VERMELHA,APLICADO PELO SISTEMA ELETROSTATICO.FORNECIMENTO E ASSENTAMENTO</t>
  </si>
  <si>
    <t>6.26</t>
  </si>
  <si>
    <t>LUMINÁRIA TIPO PLAFON EM PLÁSTICO, DE SOBREPOR, COM 1 LÂMPADA FLUORESCENTE DE 15 W, SEM REATOR - FORNECIMENTO E INSTALAÇÃO. AF_02/2020</t>
  </si>
  <si>
    <t>7.4</t>
  </si>
  <si>
    <t>banheiro camarim: 1 unidade + banheiro auditório feminino: 1 um + banheiro auditório masculino: 1 um</t>
  </si>
  <si>
    <t>18.009.0058-A</t>
  </si>
  <si>
    <t>sala da educação infantil 03 (remoção de forro de pvc): 16m²</t>
  </si>
  <si>
    <r>
      <t>(DEMOLIÇÃO ALVENARIA: parede área de serviço: ((0,15m x 2,20m x 1,75m) +abrigo de gas: (0,6m + 1,25m) x (1,0m x 0,10m)) x1,3 x 1,8t/m³ +DEMOLIÇÃO CONCRETO ARMADO: abrigo de gas (piso e cobertura):( (0,65m x 1,25m x 1un x 0,06m) +(0,65m x 1,25m x 1un x 0,1m) )x 1,3 x 2,5t/m³+ REMOÇÃO DE TELHAS COLONIAIS:((140m² x 0,0025m )+ (0,0050m x 55m²) +REMOÇÃO DE CALHAS: (225m x 0,0015m)) x 1,5 t/m³+ REMOÇÃO DE PALCO DE MADEIRA: (52,04m² x 0,8m) x 0,6t/m³ + REMOÇÃO DE FORRO EDUCAÇÃO INFANTIL: (16,04m² x 0,008m) )  x 1,5 t/m³+RODAMEIO DE MADEIRA NAS SALAS salas de aula: ((4 um x 8,569m ) + (6 um x 8,60m )+ sala de reforço:  8,60m ) x 0,1m x 0,02m)) x 0,6t/m³ + azulejos</t>
    </r>
    <r>
      <rPr>
        <sz val="9"/>
        <color indexed="10"/>
        <rFont val="Arial"/>
        <family val="2"/>
      </rPr>
      <t>:</t>
    </r>
    <r>
      <rPr>
        <sz val="9"/>
        <rFont val="Arial"/>
        <family val="2"/>
      </rPr>
      <t xml:space="preserve">   ((2,47m+3,54m+2,35m+2,56m) x 1,0m + Banheiro auditório fem: (2,35m+2,56m+3,54m4,55m) x 1,0m))   x 2,10t/m³</t>
    </r>
  </si>
  <si>
    <t xml:space="preserve">Banheiro auditório masc: (2,47m+3,54m+2,35m+2,56m) x 1,0m + Banheiro auditório fem: (2,35m+2,56m+3,54m+4,55m) x 1,0m </t>
  </si>
  <si>
    <t>banheiro camarim: 1un + lavabo secretaria: 1 um</t>
  </si>
  <si>
    <t>0,8 m x 0,8m x 0,8m x 11</t>
  </si>
  <si>
    <t>banheiro camarim: 1 um +Banheiro auditório fem: 2 un+ banheiro auditório masc: 1un  + lavabo secretaria: 1 un + banheiro PNE : 1 um</t>
  </si>
  <si>
    <t xml:space="preserve">Banheiro camarim: 1 unidade + lavabo secretaria:  1 unidade </t>
  </si>
  <si>
    <t>parede área de serviço: ( 1,74m x 2,2m) +abrigo de gas: (0,6m +0,6m + 1,25m) x 1,0m  + elevação de peitoril ( sala de educação infantil 03) : (0,37m x 6,4m) +ilha da cozinha:  (2,0m +2,0m+3,0m+3,0m) x (0,9m) + acesso às lixeiras: (1,45m+1,45m+2,0m) x 1,85m +banheiro camarim/ camarim : (3,1m x2,65m) +salas da educação infantil:  (9,7m +11,7m+12,2m) x 3,0m</t>
  </si>
  <si>
    <t>LAJES: Sala educação infantil 03: 17,66m² +abrigo de gas ( cobertura)+(0,65m x 1,25m x 1un x 0,1m) + abrigo das lixeiras: (1,45m x 2,0m) + PERCENTUAL PARA REPINTURA EXTERNA: 10% AREA DE REPINTURA EXTERNA:</t>
  </si>
  <si>
    <t>01.050.0114-A</t>
  </si>
  <si>
    <t>10.1</t>
  </si>
  <si>
    <t>10.2</t>
  </si>
  <si>
    <t>10.3</t>
  </si>
  <si>
    <t>SINAPI 97589</t>
  </si>
  <si>
    <t>MAO-DE-OBRA DE SERRALHEIRO DE CONSTRUCAO CIVIL,INCLUSIVE ENCARGOS SOCIAIS</t>
  </si>
  <si>
    <t>05.105.0102-A</t>
  </si>
  <si>
    <t>janelas: estimativa: 0,25 MÊS</t>
  </si>
  <si>
    <t>SINAPI 4930</t>
  </si>
  <si>
    <t>PORTA DE ABRIR / GIRO, EM GRADIL FERRO, COM BARRA CHATA 3 CM X 1/4", COM REQUADRO E GUARNICAO - COMPLETO - ACABAMENTO NATURAL</t>
  </si>
  <si>
    <t>TORNEIRA PARA LAVATORIO,1193 DE 1/2"X9CM APROXIMADAMENTE,METAL CROMADO.FORNECIMENTO</t>
  </si>
  <si>
    <t>18.009.0076-A</t>
  </si>
  <si>
    <t>ESCOLA MARIA DE LOURDES Reforma e manutenção do prédio escolar</t>
  </si>
  <si>
    <t>portão do gás: (0,8m x 1,0m x 2lados) +(4,65m x 2,10m) + SECRETARIA: janelas : (1,4m x 2,4m x 2 um) + (3,0m x 0,9m) +porta: (0,8m x 2,10m) + COZINHA: janela: ( 4,5m x 1,4m) +porta: (0,9m x 2,10m)</t>
  </si>
  <si>
    <r>
      <t>PAREDES: vestiários feminino e masculino: 19,4m² +19,4m²+refeitório: 71,88m² +circulação: 25,35m² +circ/escovódromo: 50,70m² +circ. Vestiário masculino: 18,63m² +sala de reforço: 29,10m² +salas de aula: (78,50m² x 6un) + (71m² x 4un)  + salas educação infantil: 63,57m² +48,03m²+52,00m² + 89,20m² +80,61m</t>
    </r>
    <r>
      <rPr>
        <b/>
        <sz val="9"/>
        <rFont val="Arial"/>
        <family val="2"/>
      </rPr>
      <t>²</t>
    </r>
    <r>
      <rPr>
        <sz val="9"/>
        <rFont val="Arial"/>
        <family val="2"/>
      </rPr>
      <t>+ auditório (h= 5,7m): 262,37m² +hall (auditório): 1110,7m²+sala (cabine projeção): 43m² +coordenação pedagógica: 50,7m² +direção: 50,7 m²+ hall secretaria: 14,25m² + secretaria: 80,7m² +hall entrada principal: 97,47m² +pátio coberto central (h=5,7m): 663,54m² +pátio coberto ed. infantil: 297,54m² +TETOS: refeitório: 78,56m² + cozinha: 37,21m² + hall de serviço: 15,52m² + dispensa: 11,40m² + banheiro func masc: 5,13m² + banheiro func fem: 5,13m² +  área de serviço:  3,1m² + DLM: 3,45m² banheiro pne: 3,45m² + circ: 3,72m² + cantina: 6,75m²+ escovódromo: 17,46m² + vestiário fem: 21,95m² +vestiário masc: 21,95m² + circ. vest/ escovódromo: 8,09m² + cir. vest masc: 2,20m² + sala de reforço: 21,95m² + salas de aula:  (63,20m²  x 6 un) + (52, 46m² x 4un) +circ. salas: 77,33m² + salas da educação infantil: 26,38m² + 22,50m² +27,52m² + 35,45m² + camarim: 44,67m² + banheiro camarim: 3,23m² +sala projeção: 29,01m² + hall auditório: 23,51m² +  banheiro fem auditório: 7m² +banheiro masc auditório: 9,52m² +  coordenação pedagógica: 17,46m² + banheiros infantis: 8,46m² +8,46m² +direção: 17,46m² +lavabo direção: 1,90m² + hall secretaria: 1,4m² + lavabo secretaria: 1,76m² + secretaria: 44,84m² + hall entrada principal :45,53m² + pátio coberto central: 470,65m² + pátio coberto ed infantil: 106,06m² - vãos : 202m²</t>
    </r>
  </si>
  <si>
    <t>8 meses</t>
  </si>
  <si>
    <t>1 x 8meses</t>
  </si>
  <si>
    <t>1.30</t>
  </si>
  <si>
    <t>MAO-DE-OBRA DE VIGIA,INCLUSIVE ENCARGOS SOCIAIS</t>
  </si>
  <si>
    <t>05.105.0100-A</t>
  </si>
  <si>
    <t xml:space="preserve"> EMOP, SINAPI- RJ, SCO -RJ, Ano referência :05/2022</t>
  </si>
  <si>
    <t>PROJETO EXECUTIVO DE INSTALACAO ELETRICA PARA PREDIOS ESCOLARES E/OU ADMINISTRATIVOS DE 501 ATE 3.000M2,APRESENTADO EM AUTOCAD,INCLUSIVE AS LEGALIZACOES PERTINENTES</t>
  </si>
  <si>
    <t>1.31</t>
  </si>
  <si>
    <t xml:space="preserve">Área existente da escola : 2190m² ( áreas novas) </t>
  </si>
  <si>
    <t>parede área de serviço: ( 1,74m x 2,2m) +abrigo de gas: (0,6m +0,6m + 1,25m) x 1,0m  + elevação de peitoril ( sala de educação infantil 03) : (0,37m x 6,4m)  + acesso às lixeiras: (1,45m+1,45m+2,0m) x 1,85m +banheiro camarim/ camarim : (3,1m x2,65m) +salas da educação infantil:  (9,7m +11,7m+12,2m) x 3,0m</t>
  </si>
  <si>
    <t xml:space="preserve">tanque de serviço: 1 uni+ tanque de panelas: 1 um + cozinha: 4 unidades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</si>
</sst>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[$R$-416]\ * #,##0.00_-;\-[$R$-416]\ * #,##0.00_-;_-[$R$-416]\ * \-??_-;_-@_-"/>
    <numFmt numFmtId="166" formatCode="_-* #,##0.00_-;\-* #,##0.00_-;_-* \-??_-;_-@_-"/>
    <numFmt numFmtId="167" formatCode="0.0"/>
    <numFmt numFmtId="168" formatCode="0.00000"/>
    <numFmt numFmtId="169" formatCode="0.0000"/>
    <numFmt numFmtId="170" formatCode="0.000"/>
    <numFmt numFmtId="171" formatCode="_-[$R$-416]\ * #,##0.00_-;\-[$R$-416]\ * #,##0.00_-;_-[$R$-416]\ * &quot;-&quot;??_-;_-@_-"/>
    <numFmt numFmtId="172" formatCode="&quot;R$ &quot;#,##0.00"/>
    <numFmt numFmtId="173" formatCode="&quot;R$&quot;\ #,##0.00"/>
    <numFmt numFmtId="174" formatCode="0.00000000"/>
    <numFmt numFmtId="175" formatCode="0.0000000"/>
    <numFmt numFmtId="176" formatCode="0.000000"/>
  </numFmts>
  <fonts count="72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"/>
      <color indexed="8"/>
      <name val="Arial"/>
      <family val="2"/>
    </font>
    <font>
      <sz val="9.5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.5"/>
      <color indexed="8"/>
      <name val="Arial"/>
      <family val="2"/>
    </font>
    <font>
      <sz val="18"/>
      <color indexed="10"/>
      <name val="Arial 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.5"/>
      <color theme="1"/>
      <name val="Arial"/>
      <family val="2"/>
    </font>
    <font>
      <sz val="18"/>
      <color rgb="FFFF0000"/>
      <name val="Arial "/>
      <family val="2"/>
    </font>
    <font>
      <sz val="1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22"/>
      </right>
      <top style="medium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/>
      <right/>
      <top style="dotted">
        <color theme="0" tint="-0.24993999302387238"/>
      </top>
      <bottom/>
    </border>
    <border>
      <left/>
      <right/>
      <top style="dotted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4" fontId="1" fillId="0" borderId="0" applyFill="0" applyBorder="0" applyAlignment="0" applyProtection="0"/>
    <xf numFmtId="0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0" fillId="21" borderId="5" applyNumberFormat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1" fillId="0" borderId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164" fontId="2" fillId="33" borderId="0" xfId="47" applyFont="1" applyFill="1" applyBorder="1" applyAlignment="1" applyProtection="1">
      <alignment horizontal="center" vertical="center"/>
      <protection/>
    </xf>
    <xf numFmtId="164" fontId="2" fillId="0" borderId="0" xfId="47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47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33" borderId="0" xfId="48" applyFont="1" applyFill="1" applyBorder="1" applyAlignment="1" applyProtection="1">
      <alignment horizontal="center" vertical="center"/>
      <protection/>
    </xf>
    <xf numFmtId="49" fontId="2" fillId="33" borderId="0" xfId="48" applyNumberFormat="1" applyFont="1" applyFill="1" applyBorder="1" applyAlignment="1" applyProtection="1">
      <alignment horizontal="center" vertical="center"/>
      <protection/>
    </xf>
    <xf numFmtId="0" fontId="2" fillId="33" borderId="0" xfId="48" applyFont="1" applyFill="1" applyBorder="1" applyAlignment="1" applyProtection="1">
      <alignment horizontal="left" vertical="center" wrapText="1"/>
      <protection/>
    </xf>
    <xf numFmtId="0" fontId="2" fillId="33" borderId="0" xfId="48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164" fontId="4" fillId="33" borderId="0" xfId="47" applyFont="1" applyFill="1" applyBorder="1" applyAlignment="1" applyProtection="1">
      <alignment horizontal="center" vertical="center"/>
      <protection locked="0"/>
    </xf>
    <xf numFmtId="0" fontId="5" fillId="33" borderId="0" xfId="48" applyFont="1" applyFill="1" applyBorder="1" applyAlignment="1" applyProtection="1">
      <alignment horizontal="center" vertical="center" wrapText="1"/>
      <protection/>
    </xf>
    <xf numFmtId="0" fontId="3" fillId="33" borderId="0" xfId="48" applyFont="1" applyFill="1" applyBorder="1" applyAlignment="1" applyProtection="1">
      <alignment vertical="center"/>
      <protection/>
    </xf>
    <xf numFmtId="0" fontId="4" fillId="33" borderId="0" xfId="48" applyFont="1" applyFill="1" applyBorder="1" applyAlignment="1" applyProtection="1">
      <alignment horizontal="center" vertical="center"/>
      <protection/>
    </xf>
    <xf numFmtId="164" fontId="4" fillId="33" borderId="0" xfId="47" applyFont="1" applyFill="1" applyBorder="1" applyAlignment="1" applyProtection="1">
      <alignment vertical="center"/>
      <protection/>
    </xf>
    <xf numFmtId="164" fontId="7" fillId="33" borderId="0" xfId="47" applyFont="1" applyFill="1" applyBorder="1" applyAlignment="1" applyProtection="1">
      <alignment vertical="center"/>
      <protection/>
    </xf>
    <xf numFmtId="164" fontId="2" fillId="33" borderId="0" xfId="47" applyFont="1" applyFill="1" applyBorder="1" applyAlignment="1" applyProtection="1">
      <alignment vertical="center"/>
      <protection/>
    </xf>
    <xf numFmtId="164" fontId="7" fillId="33" borderId="0" xfId="47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47" applyFont="1" applyFill="1" applyBorder="1" applyAlignment="1" applyProtection="1">
      <alignment horizontal="center" vertical="center"/>
      <protection locked="0"/>
    </xf>
    <xf numFmtId="164" fontId="2" fillId="0" borderId="10" xfId="47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>
      <alignment horizontal="center" vertical="center"/>
    </xf>
    <xf numFmtId="164" fontId="6" fillId="34" borderId="14" xfId="47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>
      <alignment horizontal="center" vertical="center"/>
    </xf>
    <xf numFmtId="164" fontId="2" fillId="33" borderId="0" xfId="47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top"/>
      <protection locked="0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/>
    </xf>
    <xf numFmtId="164" fontId="6" fillId="34" borderId="15" xfId="0" applyNumberFormat="1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6" fillId="35" borderId="16" xfId="0" applyFont="1" applyFill="1" applyBorder="1" applyAlignment="1" applyProtection="1">
      <alignment horizontal="left" vertical="center" wrapText="1"/>
      <protection locked="0"/>
    </xf>
    <xf numFmtId="164" fontId="2" fillId="35" borderId="16" xfId="47" applyFont="1" applyFill="1" applyBorder="1" applyAlignment="1" applyProtection="1">
      <alignment horizontal="left" vertical="center" wrapText="1"/>
      <protection locked="0"/>
    </xf>
    <xf numFmtId="164" fontId="6" fillId="35" borderId="17" xfId="47" applyFont="1" applyFill="1" applyBorder="1" applyAlignment="1" applyProtection="1">
      <alignment horizontal="center" vertical="center"/>
      <protection/>
    </xf>
    <xf numFmtId="49" fontId="12" fillId="33" borderId="18" xfId="53" applyNumberFormat="1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vertical="center"/>
      <protection/>
    </xf>
    <xf numFmtId="0" fontId="3" fillId="33" borderId="18" xfId="53" applyFont="1" applyFill="1" applyBorder="1" applyAlignment="1">
      <alignment vertical="center"/>
      <protection/>
    </xf>
    <xf numFmtId="0" fontId="3" fillId="33" borderId="20" xfId="53" applyFont="1" applyFill="1" applyBorder="1" applyAlignment="1">
      <alignment vertical="center"/>
      <protection/>
    </xf>
    <xf numFmtId="0" fontId="3" fillId="33" borderId="21" xfId="53" applyFont="1" applyFill="1" applyBorder="1" applyAlignment="1">
      <alignment vertical="center"/>
      <protection/>
    </xf>
    <xf numFmtId="0" fontId="3" fillId="33" borderId="22" xfId="53" applyFont="1" applyFill="1" applyBorder="1" applyAlignment="1">
      <alignment vertical="center"/>
      <protection/>
    </xf>
    <xf numFmtId="49" fontId="12" fillId="33" borderId="23" xfId="53" applyNumberFormat="1" applyFont="1" applyFill="1" applyBorder="1" applyAlignment="1">
      <alignment horizontal="center" vertical="center"/>
      <protection/>
    </xf>
    <xf numFmtId="0" fontId="12" fillId="33" borderId="0" xfId="53" applyFont="1" applyFill="1" applyBorder="1" applyAlignment="1">
      <alignment horizontal="left" vertical="center" wrapText="1"/>
      <protection/>
    </xf>
    <xf numFmtId="0" fontId="13" fillId="36" borderId="23" xfId="53" applyFont="1" applyFill="1" applyBorder="1" applyAlignment="1">
      <alignment vertical="center"/>
      <protection/>
    </xf>
    <xf numFmtId="0" fontId="13" fillId="36" borderId="24" xfId="53" applyFont="1" applyFill="1" applyBorder="1" applyAlignment="1">
      <alignment vertical="center"/>
      <protection/>
    </xf>
    <xf numFmtId="0" fontId="13" fillId="36" borderId="25" xfId="53" applyFont="1" applyFill="1" applyBorder="1" applyAlignment="1">
      <alignment vertical="center"/>
      <protection/>
    </xf>
    <xf numFmtId="0" fontId="13" fillId="36" borderId="0" xfId="53" applyFont="1" applyFill="1" applyBorder="1" applyAlignment="1">
      <alignment vertical="center"/>
      <protection/>
    </xf>
    <xf numFmtId="0" fontId="13" fillId="36" borderId="26" xfId="53" applyFont="1" applyFill="1" applyBorder="1" applyAlignment="1">
      <alignment vertical="center"/>
      <protection/>
    </xf>
    <xf numFmtId="0" fontId="13" fillId="33" borderId="23" xfId="53" applyFont="1" applyFill="1" applyBorder="1" applyAlignment="1">
      <alignment vertical="center"/>
      <protection/>
    </xf>
    <xf numFmtId="0" fontId="13" fillId="33" borderId="24" xfId="53" applyFont="1" applyFill="1" applyBorder="1" applyAlignment="1">
      <alignment vertical="center"/>
      <protection/>
    </xf>
    <xf numFmtId="0" fontId="13" fillId="33" borderId="25" xfId="53" applyFont="1" applyFill="1" applyBorder="1" applyAlignment="1">
      <alignment vertical="center"/>
      <protection/>
    </xf>
    <xf numFmtId="0" fontId="13" fillId="33" borderId="0" xfId="53" applyFont="1" applyFill="1" applyBorder="1" applyAlignment="1">
      <alignment vertical="center"/>
      <protection/>
    </xf>
    <xf numFmtId="0" fontId="13" fillId="33" borderId="26" xfId="53" applyFont="1" applyFill="1" applyBorder="1" applyAlignment="1">
      <alignment vertical="center"/>
      <protection/>
    </xf>
    <xf numFmtId="49" fontId="12" fillId="0" borderId="23" xfId="53" applyNumberFormat="1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vertical="center" wrapText="1"/>
      <protection/>
    </xf>
    <xf numFmtId="0" fontId="14" fillId="0" borderId="23" xfId="53" applyFont="1" applyFill="1" applyBorder="1" applyAlignment="1">
      <alignment vertical="center"/>
      <protection/>
    </xf>
    <xf numFmtId="0" fontId="14" fillId="33" borderId="0" xfId="53" applyFont="1" applyFill="1" applyBorder="1" applyAlignment="1">
      <alignment vertical="center"/>
      <protection/>
    </xf>
    <xf numFmtId="0" fontId="14" fillId="33" borderId="25" xfId="53" applyFont="1" applyFill="1" applyBorder="1" applyAlignment="1">
      <alignment vertical="center"/>
      <protection/>
    </xf>
    <xf numFmtId="0" fontId="14" fillId="33" borderId="24" xfId="53" applyFont="1" applyFill="1" applyBorder="1" applyAlignment="1">
      <alignment vertical="center"/>
      <protection/>
    </xf>
    <xf numFmtId="0" fontId="14" fillId="33" borderId="26" xfId="53" applyFont="1" applyFill="1" applyBorder="1" applyAlignment="1">
      <alignment vertical="center"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4" fillId="36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14" fillId="36" borderId="23" xfId="53" applyFont="1" applyFill="1" applyBorder="1" applyAlignment="1">
      <alignment vertical="center"/>
      <protection/>
    </xf>
    <xf numFmtId="0" fontId="14" fillId="36" borderId="24" xfId="53" applyFont="1" applyFill="1" applyBorder="1" applyAlignment="1">
      <alignment vertical="center"/>
      <protection/>
    </xf>
    <xf numFmtId="0" fontId="14" fillId="36" borderId="25" xfId="53" applyFont="1" applyFill="1" applyBorder="1" applyAlignment="1">
      <alignment vertical="center"/>
      <protection/>
    </xf>
    <xf numFmtId="0" fontId="14" fillId="33" borderId="23" xfId="53" applyFont="1" applyFill="1" applyBorder="1" applyAlignment="1">
      <alignment vertical="center"/>
      <protection/>
    </xf>
    <xf numFmtId="0" fontId="14" fillId="36" borderId="26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49" fontId="12" fillId="33" borderId="27" xfId="53" applyNumberFormat="1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vertical="center"/>
      <protection/>
    </xf>
    <xf numFmtId="0" fontId="14" fillId="33" borderId="27" xfId="53" applyFont="1" applyFill="1" applyBorder="1" applyAlignment="1">
      <alignment vertical="center"/>
      <protection/>
    </xf>
    <xf numFmtId="0" fontId="14" fillId="33" borderId="28" xfId="53" applyFont="1" applyFill="1" applyBorder="1" applyAlignment="1">
      <alignment vertical="center"/>
      <protection/>
    </xf>
    <xf numFmtId="0" fontId="14" fillId="33" borderId="29" xfId="53" applyFont="1" applyFill="1" applyBorder="1" applyAlignment="1">
      <alignment vertical="center"/>
      <protection/>
    </xf>
    <xf numFmtId="0" fontId="14" fillId="33" borderId="16" xfId="53" applyFont="1" applyFill="1" applyBorder="1" applyAlignment="1">
      <alignment vertical="center"/>
      <protection/>
    </xf>
    <xf numFmtId="0" fontId="14" fillId="33" borderId="17" xfId="53" applyFont="1" applyFill="1" applyBorder="1" applyAlignment="1">
      <alignment vertical="center"/>
      <protection/>
    </xf>
    <xf numFmtId="0" fontId="0" fillId="0" borderId="30" xfId="0" applyBorder="1" applyAlignment="1">
      <alignment/>
    </xf>
    <xf numFmtId="0" fontId="16" fillId="33" borderId="2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 wrapText="1"/>
    </xf>
    <xf numFmtId="0" fontId="17" fillId="36" borderId="30" xfId="0" applyFont="1" applyFill="1" applyBorder="1" applyAlignment="1">
      <alignment vertical="center"/>
    </xf>
    <xf numFmtId="0" fontId="17" fillId="36" borderId="32" xfId="0" applyFont="1" applyFill="1" applyBorder="1" applyAlignment="1">
      <alignment vertical="center"/>
    </xf>
    <xf numFmtId="0" fontId="18" fillId="36" borderId="0" xfId="0" applyFont="1" applyFill="1" applyAlignment="1">
      <alignment vertical="center"/>
    </xf>
    <xf numFmtId="0" fontId="18" fillId="36" borderId="32" xfId="0" applyFont="1" applyFill="1" applyBorder="1" applyAlignment="1">
      <alignment vertical="center"/>
    </xf>
    <xf numFmtId="0" fontId="18" fillId="36" borderId="35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8" fillId="33" borderId="30" xfId="0" applyFont="1" applyFill="1" applyBorder="1" applyAlignment="1">
      <alignment vertical="center"/>
    </xf>
    <xf numFmtId="0" fontId="18" fillId="33" borderId="32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18" fillId="33" borderId="36" xfId="0" applyFont="1" applyFill="1" applyBorder="1" applyAlignment="1">
      <alignment vertical="center"/>
    </xf>
    <xf numFmtId="0" fontId="17" fillId="36" borderId="0" xfId="0" applyFont="1" applyFill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7" fillId="0" borderId="30" xfId="0" applyFont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35" xfId="0" applyFont="1" applyFill="1" applyBorder="1" applyAlignment="1">
      <alignment vertical="center"/>
    </xf>
    <xf numFmtId="0" fontId="17" fillId="33" borderId="36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19" fillId="36" borderId="0" xfId="0" applyFont="1" applyFill="1" applyAlignment="1">
      <alignment/>
    </xf>
    <xf numFmtId="0" fontId="17" fillId="33" borderId="32" xfId="0" applyFont="1" applyFill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16" fillId="33" borderId="36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33" borderId="36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6" borderId="0" xfId="0" applyFont="1" applyFill="1" applyAlignment="1">
      <alignment vertical="center"/>
    </xf>
    <xf numFmtId="0" fontId="17" fillId="36" borderId="35" xfId="0" applyFont="1" applyFill="1" applyBorder="1" applyAlignment="1">
      <alignment vertical="center"/>
    </xf>
    <xf numFmtId="0" fontId="17" fillId="36" borderId="36" xfId="0" applyFont="1" applyFill="1" applyBorder="1" applyAlignment="1">
      <alignment vertical="center"/>
    </xf>
    <xf numFmtId="0" fontId="14" fillId="33" borderId="36" xfId="0" applyFont="1" applyFill="1" applyBorder="1" applyAlignment="1">
      <alignment vertical="center"/>
    </xf>
    <xf numFmtId="0" fontId="14" fillId="36" borderId="30" xfId="0" applyFont="1" applyFill="1" applyBorder="1" applyAlignment="1">
      <alignment vertical="center"/>
    </xf>
    <xf numFmtId="0" fontId="14" fillId="36" borderId="32" xfId="0" applyFont="1" applyFill="1" applyBorder="1" applyAlignment="1">
      <alignment vertical="center"/>
    </xf>
    <xf numFmtId="0" fontId="15" fillId="33" borderId="23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vertical="center"/>
    </xf>
    <xf numFmtId="0" fontId="14" fillId="33" borderId="38" xfId="0" applyFont="1" applyFill="1" applyBorder="1" applyAlignment="1">
      <alignment vertical="center"/>
    </xf>
    <xf numFmtId="0" fontId="14" fillId="33" borderId="39" xfId="0" applyFont="1" applyFill="1" applyBorder="1" applyAlignment="1">
      <alignment vertical="center"/>
    </xf>
    <xf numFmtId="0" fontId="14" fillId="33" borderId="40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16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 wrapText="1"/>
    </xf>
    <xf numFmtId="0" fontId="17" fillId="36" borderId="42" xfId="0" applyFont="1" applyFill="1" applyBorder="1" applyAlignment="1">
      <alignment vertical="center"/>
    </xf>
    <xf numFmtId="0" fontId="18" fillId="36" borderId="43" xfId="0" applyFont="1" applyFill="1" applyBorder="1" applyAlignment="1">
      <alignment vertical="center"/>
    </xf>
    <xf numFmtId="0" fontId="18" fillId="33" borderId="42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43" xfId="0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7" fillId="33" borderId="42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7" fillId="33" borderId="43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7" fillId="36" borderId="43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4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16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17" fillId="33" borderId="44" xfId="0" applyFont="1" applyFill="1" applyBorder="1" applyAlignment="1">
      <alignment vertical="center"/>
    </xf>
    <xf numFmtId="0" fontId="17" fillId="33" borderId="45" xfId="0" applyFont="1" applyFill="1" applyBorder="1" applyAlignment="1">
      <alignment vertical="center"/>
    </xf>
    <xf numFmtId="0" fontId="17" fillId="33" borderId="46" xfId="0" applyFont="1" applyFill="1" applyBorder="1" applyAlignment="1">
      <alignment vertical="center"/>
    </xf>
    <xf numFmtId="0" fontId="17" fillId="33" borderId="47" xfId="0" applyFont="1" applyFill="1" applyBorder="1" applyAlignment="1">
      <alignment vertical="center"/>
    </xf>
    <xf numFmtId="0" fontId="17" fillId="33" borderId="48" xfId="0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37" borderId="49" xfId="0" applyFont="1" applyFill="1" applyBorder="1" applyAlignment="1">
      <alignment vertical="center"/>
    </xf>
    <xf numFmtId="0" fontId="2" fillId="37" borderId="49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9" fillId="38" borderId="0" xfId="0" applyFont="1" applyFill="1" applyAlignment="1" applyProtection="1">
      <alignment horizontal="center" vertical="center" wrapText="1"/>
      <protection locked="0"/>
    </xf>
    <xf numFmtId="2" fontId="2" fillId="39" borderId="0" xfId="0" applyNumberFormat="1" applyFont="1" applyFill="1" applyBorder="1" applyAlignment="1">
      <alignment horizontal="center" vertical="center"/>
    </xf>
    <xf numFmtId="164" fontId="2" fillId="40" borderId="0" xfId="47" applyFont="1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 applyProtection="1">
      <alignment horizontal="left" vertical="center" wrapText="1"/>
      <protection locked="0"/>
    </xf>
    <xf numFmtId="164" fontId="2" fillId="41" borderId="0" xfId="47" applyFont="1" applyFill="1" applyBorder="1" applyAlignment="1" applyProtection="1">
      <alignment horizontal="left" vertical="center" wrapText="1"/>
      <protection locked="0"/>
    </xf>
    <xf numFmtId="164" fontId="6" fillId="41" borderId="0" xfId="47" applyFont="1" applyFill="1" applyBorder="1" applyAlignment="1" applyProtection="1">
      <alignment horizontal="center" vertical="center"/>
      <protection/>
    </xf>
    <xf numFmtId="0" fontId="2" fillId="39" borderId="0" xfId="0" applyFont="1" applyFill="1" applyAlignment="1" applyProtection="1">
      <alignment horizontal="left" vertical="center" wrapText="1"/>
      <protection locked="0"/>
    </xf>
    <xf numFmtId="0" fontId="2" fillId="39" borderId="0" xfId="0" applyFont="1" applyFill="1" applyAlignment="1" applyProtection="1">
      <alignment vertical="top"/>
      <protection locked="0"/>
    </xf>
    <xf numFmtId="0" fontId="1" fillId="39" borderId="0" xfId="0" applyFont="1" applyFill="1" applyAlignment="1" applyProtection="1">
      <alignment vertical="top"/>
      <protection locked="0"/>
    </xf>
    <xf numFmtId="0" fontId="0" fillId="0" borderId="50" xfId="0" applyBorder="1" applyAlignment="1">
      <alignment/>
    </xf>
    <xf numFmtId="0" fontId="16" fillId="42" borderId="50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164" fontId="0" fillId="0" borderId="50" xfId="0" applyNumberFormat="1" applyBorder="1" applyAlignment="1">
      <alignment/>
    </xf>
    <xf numFmtId="164" fontId="6" fillId="33" borderId="50" xfId="47" applyFont="1" applyFill="1" applyBorder="1" applyAlignment="1" applyProtection="1">
      <alignment horizontal="center" vertical="center"/>
      <protection/>
    </xf>
    <xf numFmtId="164" fontId="6" fillId="43" borderId="13" xfId="47" applyFont="1" applyFill="1" applyBorder="1" applyAlignment="1" applyProtection="1">
      <alignment horizontal="center" vertical="center"/>
      <protection/>
    </xf>
    <xf numFmtId="164" fontId="2" fillId="43" borderId="13" xfId="47" applyFont="1" applyFill="1" applyBorder="1" applyAlignment="1" applyProtection="1">
      <alignment horizontal="center" vertical="center"/>
      <protection/>
    </xf>
    <xf numFmtId="0" fontId="1" fillId="37" borderId="0" xfId="0" applyFont="1" applyFill="1" applyAlignment="1" applyProtection="1">
      <alignment vertical="top"/>
      <protection locked="0"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 wrapText="1"/>
    </xf>
    <xf numFmtId="0" fontId="5" fillId="39" borderId="0" xfId="0" applyFont="1" applyFill="1" applyAlignment="1" applyProtection="1">
      <alignment vertical="top"/>
      <protection locked="0"/>
    </xf>
    <xf numFmtId="0" fontId="3" fillId="39" borderId="0" xfId="0" applyFont="1" applyFill="1" applyAlignment="1" applyProtection="1">
      <alignment vertical="top"/>
      <protection locked="0"/>
    </xf>
    <xf numFmtId="0" fontId="2" fillId="37" borderId="0" xfId="0" applyFont="1" applyFill="1" applyAlignment="1" applyProtection="1">
      <alignment vertical="top"/>
      <protection locked="0"/>
    </xf>
    <xf numFmtId="172" fontId="11" fillId="37" borderId="0" xfId="0" applyNumberFormat="1" applyFont="1" applyFill="1" applyBorder="1" applyAlignment="1">
      <alignment vertical="center"/>
    </xf>
    <xf numFmtId="49" fontId="11" fillId="37" borderId="0" xfId="52" applyNumberFormat="1" applyFont="1" applyFill="1" applyBorder="1" applyAlignment="1">
      <alignment vertical="center"/>
      <protection/>
    </xf>
    <xf numFmtId="49" fontId="11" fillId="37" borderId="0" xfId="52" applyNumberFormat="1" applyFont="1" applyFill="1" applyBorder="1" applyAlignment="1">
      <alignment horizontal="center" vertical="center"/>
      <protection/>
    </xf>
    <xf numFmtId="49" fontId="11" fillId="37" borderId="0" xfId="52" applyNumberFormat="1" applyFont="1" applyFill="1" applyBorder="1" applyAlignment="1">
      <alignment horizontal="right" vertical="center"/>
      <protection/>
    </xf>
    <xf numFmtId="0" fontId="11" fillId="37" borderId="0" xfId="52" applyFont="1" applyFill="1" applyBorder="1" applyAlignment="1">
      <alignment horizontal="center" vertical="center"/>
      <protection/>
    </xf>
    <xf numFmtId="0" fontId="11" fillId="37" borderId="0" xfId="52" applyFont="1" applyFill="1" applyBorder="1" applyAlignment="1">
      <alignment horizontal="right" vertical="center"/>
      <protection/>
    </xf>
    <xf numFmtId="49" fontId="11" fillId="37" borderId="0" xfId="52" applyNumberFormat="1" applyFont="1" applyFill="1" applyBorder="1" applyAlignment="1">
      <alignment horizontal="center" vertical="center" wrapText="1"/>
      <protection/>
    </xf>
    <xf numFmtId="49" fontId="68" fillId="44" borderId="51" xfId="52" applyNumberFormat="1" applyFont="1" applyFill="1" applyBorder="1" applyAlignment="1">
      <alignment horizontal="center" vertical="center" wrapText="1"/>
      <protection/>
    </xf>
    <xf numFmtId="49" fontId="68" fillId="44" borderId="51" xfId="52" applyNumberFormat="1" applyFont="1" applyFill="1" applyBorder="1" applyAlignment="1">
      <alignment horizontal="left" vertical="center" wrapText="1"/>
      <protection/>
    </xf>
    <xf numFmtId="49" fontId="68" fillId="44" borderId="51" xfId="52" applyNumberFormat="1" applyFont="1" applyFill="1" applyBorder="1" applyAlignment="1">
      <alignment horizontal="right" vertical="center" wrapText="1"/>
      <protection/>
    </xf>
    <xf numFmtId="0" fontId="68" fillId="44" borderId="51" xfId="52" applyFont="1" applyFill="1" applyBorder="1" applyAlignment="1">
      <alignment horizontal="right" vertical="center" wrapText="1"/>
      <protection/>
    </xf>
    <xf numFmtId="0" fontId="68" fillId="44" borderId="51" xfId="52" applyFont="1" applyFill="1" applyBorder="1" applyAlignment="1">
      <alignment horizontal="center" vertical="center" wrapText="1"/>
      <protection/>
    </xf>
    <xf numFmtId="49" fontId="11" fillId="37" borderId="51" xfId="52" applyNumberFormat="1" applyFont="1" applyFill="1" applyBorder="1" applyAlignment="1">
      <alignment horizontal="center" vertical="center"/>
      <protection/>
    </xf>
    <xf numFmtId="49" fontId="23" fillId="37" borderId="51" xfId="52" applyNumberFormat="1" applyFont="1" applyFill="1" applyBorder="1" applyAlignment="1">
      <alignment horizontal="left" vertical="center" wrapText="1"/>
      <protection/>
    </xf>
    <xf numFmtId="49" fontId="11" fillId="37" borderId="51" xfId="52" applyNumberFormat="1" applyFont="1" applyFill="1" applyBorder="1" applyAlignment="1">
      <alignment horizontal="center" vertical="center" wrapText="1"/>
      <protection/>
    </xf>
    <xf numFmtId="49" fontId="11" fillId="37" borderId="51" xfId="52" applyNumberFormat="1" applyFont="1" applyFill="1" applyBorder="1" applyAlignment="1">
      <alignment horizontal="right" vertical="center"/>
      <protection/>
    </xf>
    <xf numFmtId="0" fontId="11" fillId="37" borderId="51" xfId="52" applyFont="1" applyFill="1" applyBorder="1" applyAlignment="1">
      <alignment horizontal="right" vertical="center"/>
      <protection/>
    </xf>
    <xf numFmtId="0" fontId="24" fillId="37" borderId="51" xfId="52" applyFont="1" applyFill="1" applyBorder="1" applyAlignment="1">
      <alignment horizontal="right" vertical="center"/>
      <protection/>
    </xf>
    <xf numFmtId="173" fontId="11" fillId="37" borderId="51" xfId="52" applyNumberFormat="1" applyFont="1" applyFill="1" applyBorder="1" applyAlignment="1">
      <alignment horizontal="right" vertical="center"/>
      <protection/>
    </xf>
    <xf numFmtId="49" fontId="11" fillId="37" borderId="52" xfId="52" applyNumberFormat="1" applyFont="1" applyFill="1" applyBorder="1" applyAlignment="1">
      <alignment horizontal="center" vertical="center"/>
      <protection/>
    </xf>
    <xf numFmtId="49" fontId="23" fillId="37" borderId="52" xfId="52" applyNumberFormat="1" applyFont="1" applyFill="1" applyBorder="1" applyAlignment="1">
      <alignment horizontal="left" vertical="center" wrapText="1"/>
      <protection/>
    </xf>
    <xf numFmtId="49" fontId="11" fillId="37" borderId="52" xfId="52" applyNumberFormat="1" applyFont="1" applyFill="1" applyBorder="1" applyAlignment="1">
      <alignment horizontal="center" vertical="center" wrapText="1"/>
      <protection/>
    </xf>
    <xf numFmtId="49" fontId="11" fillId="37" borderId="52" xfId="52" applyNumberFormat="1" applyFont="1" applyFill="1" applyBorder="1" applyAlignment="1">
      <alignment horizontal="right" vertical="center"/>
      <protection/>
    </xf>
    <xf numFmtId="0" fontId="11" fillId="37" borderId="52" xfId="52" applyFont="1" applyFill="1" applyBorder="1" applyAlignment="1">
      <alignment horizontal="right" vertical="center"/>
      <protection/>
    </xf>
    <xf numFmtId="0" fontId="24" fillId="37" borderId="52" xfId="52" applyFont="1" applyFill="1" applyBorder="1" applyAlignment="1">
      <alignment horizontal="right" vertical="center"/>
      <protection/>
    </xf>
    <xf numFmtId="49" fontId="23" fillId="37" borderId="0" xfId="52" applyNumberFormat="1" applyFont="1" applyFill="1" applyBorder="1" applyAlignment="1">
      <alignment horizontal="left" vertical="center" wrapText="1"/>
      <protection/>
    </xf>
    <xf numFmtId="49" fontId="25" fillId="37" borderId="0" xfId="52" applyNumberFormat="1" applyFont="1" applyFill="1" applyBorder="1" applyAlignment="1">
      <alignment horizontal="center" vertical="center" wrapText="1"/>
      <protection/>
    </xf>
    <xf numFmtId="0" fontId="24" fillId="37" borderId="0" xfId="52" applyFont="1" applyFill="1" applyBorder="1" applyAlignment="1">
      <alignment horizontal="right" vertical="center"/>
      <protection/>
    </xf>
    <xf numFmtId="173" fontId="25" fillId="37" borderId="0" xfId="52" applyNumberFormat="1" applyFont="1" applyFill="1" applyBorder="1" applyAlignment="1">
      <alignment horizontal="right" vertical="center"/>
      <protection/>
    </xf>
    <xf numFmtId="1" fontId="0" fillId="0" borderId="53" xfId="0" applyNumberFormat="1" applyBorder="1" applyAlignment="1">
      <alignment vertical="center"/>
    </xf>
    <xf numFmtId="172" fontId="69" fillId="37" borderId="0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164" fontId="2" fillId="37" borderId="0" xfId="47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 applyProtection="1">
      <alignment horizontal="center" vertical="center" wrapText="1"/>
      <protection locked="0"/>
    </xf>
    <xf numFmtId="0" fontId="6" fillId="45" borderId="0" xfId="0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Alignment="1">
      <alignment horizontal="center" vertical="center"/>
    </xf>
    <xf numFmtId="164" fontId="2" fillId="39" borderId="0" xfId="47" applyFont="1" applyFill="1" applyBorder="1" applyAlignment="1" applyProtection="1">
      <alignment horizontal="center" vertical="center"/>
      <protection locked="0"/>
    </xf>
    <xf numFmtId="0" fontId="5" fillId="39" borderId="0" xfId="48" applyFont="1" applyFill="1" applyBorder="1" applyAlignment="1" applyProtection="1">
      <alignment vertical="center"/>
      <protection/>
    </xf>
    <xf numFmtId="164" fontId="7" fillId="39" borderId="0" xfId="47" applyFont="1" applyFill="1" applyBorder="1" applyAlignment="1" applyProtection="1">
      <alignment vertical="center"/>
      <protection/>
    </xf>
    <xf numFmtId="164" fontId="7" fillId="39" borderId="0" xfId="47" applyFont="1" applyFill="1" applyBorder="1" applyAlignment="1" applyProtection="1">
      <alignment horizontal="center" vertical="center"/>
      <protection/>
    </xf>
    <xf numFmtId="0" fontId="5" fillId="37" borderId="0" xfId="0" applyFont="1" applyFill="1" applyAlignment="1">
      <alignment/>
    </xf>
    <xf numFmtId="0" fontId="5" fillId="37" borderId="0" xfId="0" applyFont="1" applyFill="1" applyAlignment="1" applyProtection="1">
      <alignment vertical="top"/>
      <protection locked="0"/>
    </xf>
    <xf numFmtId="0" fontId="6" fillId="45" borderId="0" xfId="0" applyFont="1" applyFill="1" applyBorder="1" applyAlignment="1">
      <alignment horizontal="center" vertical="center"/>
    </xf>
    <xf numFmtId="164" fontId="2" fillId="41" borderId="0" xfId="47" applyFont="1" applyFill="1" applyBorder="1" applyAlignment="1" applyProtection="1">
      <alignment horizontal="center" vertical="center"/>
      <protection/>
    </xf>
    <xf numFmtId="164" fontId="6" fillId="45" borderId="0" xfId="47" applyFont="1" applyFill="1" applyBorder="1" applyAlignment="1" applyProtection="1">
      <alignment horizontal="center" vertical="center"/>
      <protection locked="0"/>
    </xf>
    <xf numFmtId="0" fontId="70" fillId="38" borderId="0" xfId="0" applyFont="1" applyFill="1" applyAlignment="1" applyProtection="1">
      <alignment horizontal="center" vertical="center" wrapText="1"/>
      <protection locked="0"/>
    </xf>
    <xf numFmtId="0" fontId="71" fillId="39" borderId="0" xfId="0" applyFont="1" applyFill="1" applyAlignment="1" applyProtection="1">
      <alignment horizontal="left" vertical="center" wrapText="1"/>
      <protection locked="0"/>
    </xf>
    <xf numFmtId="164" fontId="2" fillId="39" borderId="0" xfId="47" applyFont="1" applyFill="1" applyBorder="1" applyAlignment="1" applyProtection="1">
      <alignment vertical="center"/>
      <protection/>
    </xf>
    <xf numFmtId="164" fontId="2" fillId="39" borderId="0" xfId="47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164" fontId="2" fillId="0" borderId="0" xfId="47" applyFont="1" applyAlignment="1">
      <alignment vertical="center"/>
    </xf>
    <xf numFmtId="0" fontId="11" fillId="37" borderId="49" xfId="0" applyFont="1" applyFill="1" applyBorder="1" applyAlignment="1">
      <alignment horizontal="center" vertical="center"/>
    </xf>
    <xf numFmtId="0" fontId="2" fillId="39" borderId="0" xfId="0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vertical="center" wrapText="1"/>
    </xf>
    <xf numFmtId="0" fontId="2" fillId="45" borderId="0" xfId="0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Alignment="1" applyProtection="1">
      <alignment horizontal="center" vertical="center" wrapText="1"/>
      <protection locked="0"/>
    </xf>
    <xf numFmtId="0" fontId="6" fillId="43" borderId="54" xfId="0" applyFont="1" applyFill="1" applyBorder="1" applyAlignment="1" applyProtection="1">
      <alignment horizontal="center" vertical="center"/>
      <protection locked="0"/>
    </xf>
    <xf numFmtId="0" fontId="2" fillId="43" borderId="55" xfId="0" applyFont="1" applyFill="1" applyBorder="1" applyAlignment="1" applyProtection="1">
      <alignment horizontal="center" vertical="center"/>
      <protection locked="0"/>
    </xf>
    <xf numFmtId="0" fontId="6" fillId="43" borderId="55" xfId="0" applyFont="1" applyFill="1" applyBorder="1" applyAlignment="1" applyProtection="1">
      <alignment horizontal="left" vertical="center" wrapText="1"/>
      <protection locked="0"/>
    </xf>
    <xf numFmtId="0" fontId="2" fillId="43" borderId="55" xfId="0" applyFont="1" applyFill="1" applyBorder="1" applyAlignment="1">
      <alignment horizontal="center" vertical="center"/>
    </xf>
    <xf numFmtId="164" fontId="2" fillId="43" borderId="55" xfId="47" applyFont="1" applyFill="1" applyBorder="1" applyAlignment="1" applyProtection="1">
      <alignment horizontal="center" vertical="center"/>
      <protection/>
    </xf>
    <xf numFmtId="164" fontId="6" fillId="43" borderId="56" xfId="0" applyNumberFormat="1" applyFont="1" applyFill="1" applyBorder="1" applyAlignment="1">
      <alignment horizontal="center"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2" fillId="37" borderId="57" xfId="0" applyFont="1" applyFill="1" applyBorder="1" applyAlignment="1">
      <alignment vertical="center"/>
    </xf>
    <xf numFmtId="164" fontId="2" fillId="39" borderId="0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2" fontId="9" fillId="39" borderId="0" xfId="0" applyNumberFormat="1" applyFont="1" applyFill="1" applyAlignment="1">
      <alignment horizontal="center" vertical="center"/>
    </xf>
    <xf numFmtId="0" fontId="9" fillId="39" borderId="49" xfId="0" applyFont="1" applyFill="1" applyBorder="1" applyAlignment="1">
      <alignment vertical="center"/>
    </xf>
    <xf numFmtId="0" fontId="9" fillId="38" borderId="49" xfId="0" applyFont="1" applyFill="1" applyBorder="1" applyAlignment="1">
      <alignment vertical="center" wrapText="1"/>
    </xf>
    <xf numFmtId="0" fontId="9" fillId="39" borderId="49" xfId="0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2" fillId="39" borderId="49" xfId="0" applyFont="1" applyFill="1" applyBorder="1" applyAlignment="1">
      <alignment vertical="center"/>
    </xf>
    <xf numFmtId="0" fontId="2" fillId="38" borderId="49" xfId="0" applyFont="1" applyFill="1" applyBorder="1" applyAlignment="1">
      <alignment vertical="center" wrapText="1"/>
    </xf>
    <xf numFmtId="0" fontId="2" fillId="39" borderId="49" xfId="0" applyFont="1" applyFill="1" applyBorder="1" applyAlignment="1">
      <alignment horizontal="center" vertical="center"/>
    </xf>
    <xf numFmtId="2" fontId="9" fillId="39" borderId="0" xfId="0" applyNumberFormat="1" applyFont="1" applyFill="1" applyBorder="1" applyAlignment="1">
      <alignment horizontal="center" vertical="center"/>
    </xf>
    <xf numFmtId="2" fontId="2" fillId="39" borderId="0" xfId="0" applyNumberFormat="1" applyFont="1" applyFill="1" applyAlignment="1">
      <alignment horizontal="center" vertical="center"/>
    </xf>
    <xf numFmtId="0" fontId="2" fillId="38" borderId="0" xfId="0" applyFont="1" applyFill="1" applyAlignment="1" applyProtection="1">
      <alignment horizontal="left" vertical="center" wrapText="1"/>
      <protection locked="0"/>
    </xf>
    <xf numFmtId="0" fontId="2" fillId="45" borderId="0" xfId="0" applyFont="1" applyFill="1" applyBorder="1" applyAlignment="1" applyProtection="1">
      <alignment horizontal="left" vertical="center" wrapText="1"/>
      <protection locked="0"/>
    </xf>
    <xf numFmtId="0" fontId="2" fillId="45" borderId="0" xfId="0" applyFont="1" applyFill="1" applyBorder="1" applyAlignment="1">
      <alignment horizontal="center" vertical="center"/>
    </xf>
    <xf numFmtId="2" fontId="2" fillId="45" borderId="0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 applyProtection="1">
      <alignment horizontal="center" vertical="center" wrapText="1"/>
      <protection locked="0"/>
    </xf>
    <xf numFmtId="164" fontId="2" fillId="40" borderId="0" xfId="47" applyFont="1" applyFill="1" applyBorder="1" applyAlignment="1" applyProtection="1">
      <alignment vertical="center"/>
      <protection/>
    </xf>
    <xf numFmtId="0" fontId="9" fillId="39" borderId="0" xfId="0" applyFont="1" applyFill="1" applyBorder="1" applyAlignment="1">
      <alignment horizontal="center" vertical="center"/>
    </xf>
    <xf numFmtId="0" fontId="9" fillId="39" borderId="49" xfId="0" applyFont="1" applyFill="1" applyBorder="1" applyAlignment="1">
      <alignment vertical="center" wrapText="1"/>
    </xf>
    <xf numFmtId="0" fontId="9" fillId="39" borderId="49" xfId="0" applyFont="1" applyFill="1" applyBorder="1" applyAlignment="1">
      <alignment horizontal="center" vertical="center" wrapText="1"/>
    </xf>
    <xf numFmtId="0" fontId="10" fillId="38" borderId="0" xfId="48" applyFont="1" applyFill="1" applyBorder="1" applyAlignment="1" applyProtection="1">
      <alignment horizontal="center" vertical="center" wrapText="1"/>
      <protection/>
    </xf>
    <xf numFmtId="2" fontId="9" fillId="37" borderId="0" xfId="0" applyNumberFormat="1" applyFont="1" applyFill="1" applyAlignment="1" applyProtection="1">
      <alignment horizontal="center" vertical="center"/>
      <protection locked="0"/>
    </xf>
    <xf numFmtId="0" fontId="2" fillId="38" borderId="0" xfId="0" applyFont="1" applyFill="1" applyAlignment="1" applyProtection="1">
      <alignment horizontal="center" vertical="center" wrapText="1"/>
      <protection locked="0"/>
    </xf>
    <xf numFmtId="0" fontId="9" fillId="37" borderId="0" xfId="0" applyFont="1" applyFill="1" applyAlignment="1" applyProtection="1">
      <alignment horizontal="center" vertical="center"/>
      <protection locked="0"/>
    </xf>
    <xf numFmtId="0" fontId="9" fillId="37" borderId="58" xfId="0" applyFont="1" applyFill="1" applyBorder="1" applyAlignment="1">
      <alignment horizontal="center" vertical="center"/>
    </xf>
    <xf numFmtId="0" fontId="9" fillId="37" borderId="58" xfId="0" applyFont="1" applyFill="1" applyBorder="1" applyAlignment="1" applyProtection="1">
      <alignment horizontal="left" vertical="center" wrapText="1"/>
      <protection locked="0"/>
    </xf>
    <xf numFmtId="0" fontId="9" fillId="37" borderId="58" xfId="0" applyFont="1" applyFill="1" applyBorder="1" applyAlignment="1" applyProtection="1">
      <alignment horizontal="center" vertical="center"/>
      <protection locked="0"/>
    </xf>
    <xf numFmtId="2" fontId="9" fillId="37" borderId="0" xfId="0" applyNumberFormat="1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Border="1" applyAlignment="1" applyProtection="1">
      <alignment horizontal="center" vertical="center"/>
      <protection locked="0"/>
    </xf>
    <xf numFmtId="2" fontId="2" fillId="37" borderId="0" xfId="0" applyNumberFormat="1" applyFont="1" applyFill="1" applyAlignment="1" applyProtection="1">
      <alignment horizontal="center" vertical="center"/>
      <protection locked="0"/>
    </xf>
    <xf numFmtId="164" fontId="2" fillId="45" borderId="0" xfId="0" applyNumberFormat="1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vertical="center" wrapText="1"/>
    </xf>
    <xf numFmtId="0" fontId="2" fillId="39" borderId="0" xfId="0" applyFont="1" applyFill="1" applyAlignment="1" applyProtection="1">
      <alignment horizontal="center" vertical="center"/>
      <protection locked="0"/>
    </xf>
    <xf numFmtId="0" fontId="9" fillId="38" borderId="0" xfId="0" applyFont="1" applyFill="1" applyAlignment="1" applyProtection="1">
      <alignment horizontal="center" vertical="center" wrapText="1"/>
      <protection locked="0"/>
    </xf>
    <xf numFmtId="2" fontId="2" fillId="37" borderId="0" xfId="0" applyNumberFormat="1" applyFont="1" applyFill="1" applyAlignment="1" applyProtection="1">
      <alignment vertical="center"/>
      <protection locked="0"/>
    </xf>
    <xf numFmtId="0" fontId="2" fillId="37" borderId="0" xfId="0" applyFont="1" applyFill="1" applyAlignment="1" applyProtection="1">
      <alignment vertical="center"/>
      <protection locked="0"/>
    </xf>
    <xf numFmtId="2" fontId="2" fillId="37" borderId="0" xfId="0" applyNumberFormat="1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center" vertical="center" wrapText="1"/>
    </xf>
    <xf numFmtId="164" fontId="2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59" xfId="0" applyFont="1" applyFill="1" applyBorder="1" applyAlignment="1">
      <alignment horizontal="center" vertical="center"/>
    </xf>
    <xf numFmtId="164" fontId="2" fillId="45" borderId="0" xfId="47" applyFont="1" applyFill="1" applyBorder="1" applyAlignment="1" applyProtection="1">
      <alignment horizontal="center" vertical="center"/>
      <protection locked="0"/>
    </xf>
    <xf numFmtId="0" fontId="2" fillId="39" borderId="59" xfId="0" applyFont="1" applyFill="1" applyBorder="1" applyAlignment="1">
      <alignment horizontal="center" vertical="center"/>
    </xf>
    <xf numFmtId="0" fontId="2" fillId="39" borderId="59" xfId="0" applyFont="1" applyFill="1" applyBorder="1" applyAlignment="1">
      <alignment horizontal="left" vertical="center" wrapText="1"/>
    </xf>
    <xf numFmtId="0" fontId="2" fillId="39" borderId="0" xfId="0" applyFont="1" applyFill="1" applyBorder="1" applyAlignment="1">
      <alignment horizontal="center" vertical="center"/>
    </xf>
    <xf numFmtId="0" fontId="9" fillId="37" borderId="0" xfId="0" applyFont="1" applyFill="1" applyAlignment="1" applyProtection="1">
      <alignment horizontal="center" vertical="center" wrapText="1"/>
      <protection locked="0"/>
    </xf>
    <xf numFmtId="2" fontId="2" fillId="39" borderId="49" xfId="0" applyNumberFormat="1" applyFont="1" applyFill="1" applyBorder="1" applyAlignment="1">
      <alignment horizontal="center" vertical="center"/>
    </xf>
    <xf numFmtId="164" fontId="1" fillId="0" borderId="0" xfId="47" applyAlignment="1">
      <alignment/>
    </xf>
    <xf numFmtId="164" fontId="1" fillId="0" borderId="0" xfId="47" applyAlignment="1">
      <alignment vertical="center"/>
    </xf>
    <xf numFmtId="164" fontId="1" fillId="0" borderId="0" xfId="47" applyAlignment="1">
      <alignment horizontal="center" vertical="center"/>
    </xf>
    <xf numFmtId="173" fontId="16" fillId="0" borderId="0" xfId="0" applyNumberFormat="1" applyFont="1" applyAlignment="1">
      <alignment/>
    </xf>
    <xf numFmtId="2" fontId="2" fillId="39" borderId="59" xfId="0" applyNumberFormat="1" applyFont="1" applyFill="1" applyBorder="1" applyAlignment="1">
      <alignment horizontal="center" vertical="center"/>
    </xf>
    <xf numFmtId="164" fontId="4" fillId="33" borderId="0" xfId="47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49" fontId="12" fillId="34" borderId="12" xfId="53" applyNumberFormat="1" applyFont="1" applyFill="1" applyBorder="1" applyAlignment="1">
      <alignment horizontal="center" vertical="center"/>
      <protection/>
    </xf>
    <xf numFmtId="0" fontId="12" fillId="34" borderId="60" xfId="53" applyFont="1" applyFill="1" applyBorder="1" applyAlignment="1">
      <alignment horizontal="center" vertical="center"/>
      <protection/>
    </xf>
    <xf numFmtId="0" fontId="3" fillId="34" borderId="18" xfId="53" applyFont="1" applyFill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center" vertical="center"/>
      <protection/>
    </xf>
    <xf numFmtId="0" fontId="3" fillId="34" borderId="22" xfId="53" applyFont="1" applyFill="1" applyBorder="1" applyAlignment="1">
      <alignment horizontal="center" vertical="center"/>
      <protection/>
    </xf>
    <xf numFmtId="0" fontId="16" fillId="34" borderId="61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49" fontId="22" fillId="46" borderId="0" xfId="52" applyNumberFormat="1" applyFont="1" applyFill="1" applyBorder="1" applyAlignment="1">
      <alignment horizontal="center" vertical="center"/>
      <protection/>
    </xf>
    <xf numFmtId="0" fontId="6" fillId="37" borderId="0" xfId="52" applyFont="1" applyFill="1" applyBorder="1" applyAlignment="1">
      <alignment horizontal="left" vertical="center" wrapText="1"/>
      <protection/>
    </xf>
    <xf numFmtId="0" fontId="0" fillId="37" borderId="0" xfId="0" applyFill="1" applyBorder="1" applyAlignment="1">
      <alignment horizontal="center"/>
    </xf>
    <xf numFmtId="0" fontId="16" fillId="42" borderId="54" xfId="0" applyFont="1" applyFill="1" applyBorder="1" applyAlignment="1">
      <alignment horizontal="center"/>
    </xf>
    <xf numFmtId="0" fontId="16" fillId="42" borderId="55" xfId="0" applyFont="1" applyFill="1" applyBorder="1" applyAlignment="1">
      <alignment horizontal="center"/>
    </xf>
    <xf numFmtId="0" fontId="16" fillId="42" borderId="56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42" borderId="50" xfId="0" applyFont="1" applyFill="1" applyBorder="1" applyAlignment="1">
      <alignment horizontal="center"/>
    </xf>
    <xf numFmtId="164" fontId="16" fillId="0" borderId="66" xfId="0" applyNumberFormat="1" applyFont="1" applyBorder="1" applyAlignment="1">
      <alignment horizontal="center"/>
    </xf>
    <xf numFmtId="0" fontId="16" fillId="0" borderId="67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5" xfId="51"/>
    <cellStyle name="Normal 5 2" xfId="52"/>
    <cellStyle name="Normal_Planilha - Rede Coletrora 44 Cas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1900"/>
      <rgbColor rgb="00008000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314325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14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114300</xdr:rowOff>
    </xdr:from>
    <xdr:to>
      <xdr:col>4</xdr:col>
      <xdr:colOff>171450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14300"/>
          <a:ext cx="3209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295275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5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5</xdr:col>
      <xdr:colOff>409575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35337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133350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3810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2</xdr:row>
      <xdr:rowOff>0</xdr:rowOff>
    </xdr:from>
    <xdr:to>
      <xdr:col>4</xdr:col>
      <xdr:colOff>104775</xdr:colOff>
      <xdr:row>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3850"/>
          <a:ext cx="30575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</cols>
  <sheetData>
    <row r="1" spans="1:10" ht="13.5" customHeight="1">
      <c r="A1" s="347" t="s">
        <v>64</v>
      </c>
      <c r="B1" s="347"/>
      <c r="C1" s="348" t="s">
        <v>65</v>
      </c>
      <c r="D1" s="348"/>
      <c r="E1" s="348"/>
      <c r="F1" s="348"/>
      <c r="G1" s="348"/>
      <c r="H1" s="348"/>
      <c r="I1" s="348"/>
      <c r="J1" s="348"/>
    </row>
    <row r="2" spans="1:10" ht="13.5" customHeight="1">
      <c r="A2" s="347"/>
      <c r="B2" s="347"/>
      <c r="C2" s="349">
        <v>15</v>
      </c>
      <c r="D2" s="349"/>
      <c r="E2" s="350">
        <v>30</v>
      </c>
      <c r="F2" s="350"/>
      <c r="G2" s="350">
        <v>45</v>
      </c>
      <c r="H2" s="350"/>
      <c r="I2" s="351">
        <v>60</v>
      </c>
      <c r="J2" s="351"/>
    </row>
    <row r="3" spans="1:10" ht="12.75">
      <c r="A3" s="63"/>
      <c r="B3" s="64"/>
      <c r="C3" s="65"/>
      <c r="D3" s="66"/>
      <c r="E3" s="67"/>
      <c r="F3" s="66"/>
      <c r="G3" s="64"/>
      <c r="H3" s="64"/>
      <c r="I3" s="67"/>
      <c r="J3" s="68"/>
    </row>
    <row r="4" spans="1:10" ht="51">
      <c r="A4" s="69" t="s">
        <v>8</v>
      </c>
      <c r="B4" s="70" t="s">
        <v>66</v>
      </c>
      <c r="C4" s="71"/>
      <c r="D4" s="72"/>
      <c r="E4" s="73"/>
      <c r="F4" s="72"/>
      <c r="G4" s="74"/>
      <c r="H4" s="74"/>
      <c r="I4" s="73"/>
      <c r="J4" s="75"/>
    </row>
    <row r="5" spans="1:10" ht="12.75">
      <c r="A5" s="69"/>
      <c r="B5" s="70"/>
      <c r="C5" s="76"/>
      <c r="D5" s="77"/>
      <c r="E5" s="78"/>
      <c r="F5" s="77"/>
      <c r="G5" s="79"/>
      <c r="H5" s="79"/>
      <c r="I5" s="78"/>
      <c r="J5" s="80"/>
    </row>
    <row r="6" spans="1:10" ht="51">
      <c r="A6" s="69" t="s">
        <v>17</v>
      </c>
      <c r="B6" s="70" t="s">
        <v>67</v>
      </c>
      <c r="C6" s="76"/>
      <c r="D6" s="79"/>
      <c r="E6" s="74"/>
      <c r="F6" s="74"/>
      <c r="I6" s="78"/>
      <c r="J6" s="80"/>
    </row>
    <row r="7" spans="1:10" ht="12.75">
      <c r="A7" s="81"/>
      <c r="B7" s="82"/>
      <c r="C7" s="83"/>
      <c r="D7" s="84"/>
      <c r="E7" s="85"/>
      <c r="F7" s="86"/>
      <c r="G7" s="84"/>
      <c r="H7" s="84"/>
      <c r="I7" s="85"/>
      <c r="J7" s="87"/>
    </row>
    <row r="8" spans="1:10" ht="25.5">
      <c r="A8" s="69" t="s">
        <v>25</v>
      </c>
      <c r="B8" s="88" t="s">
        <v>68</v>
      </c>
      <c r="C8" s="89"/>
      <c r="D8" s="90"/>
      <c r="E8" s="85"/>
      <c r="F8" s="84"/>
      <c r="G8" s="91"/>
      <c r="H8" s="86"/>
      <c r="I8" s="85"/>
      <c r="J8" s="87"/>
    </row>
    <row r="9" spans="1:10" ht="12.75">
      <c r="A9" s="81"/>
      <c r="B9" s="82"/>
      <c r="C9" s="89"/>
      <c r="D9" s="90"/>
      <c r="E9" s="85"/>
      <c r="F9" s="84"/>
      <c r="G9" s="92"/>
      <c r="H9" s="84"/>
      <c r="I9" s="85"/>
      <c r="J9" s="87"/>
    </row>
    <row r="10" spans="1:10" ht="12.75">
      <c r="A10" s="69" t="s">
        <v>29</v>
      </c>
      <c r="B10" s="93" t="s">
        <v>69</v>
      </c>
      <c r="C10" s="89"/>
      <c r="D10" s="90"/>
      <c r="E10" s="85"/>
      <c r="F10" s="86"/>
      <c r="G10" s="91"/>
      <c r="H10" s="91"/>
      <c r="I10" s="85"/>
      <c r="J10" s="87"/>
    </row>
    <row r="11" spans="1:10" ht="12.75">
      <c r="A11" s="69"/>
      <c r="B11" s="88"/>
      <c r="C11" s="83"/>
      <c r="D11" s="86"/>
      <c r="E11" s="85"/>
      <c r="F11" s="86"/>
      <c r="G11" s="84"/>
      <c r="H11" s="84"/>
      <c r="I11" s="85"/>
      <c r="J11" s="87"/>
    </row>
    <row r="12" spans="1:10" ht="12.75">
      <c r="A12" s="81"/>
      <c r="B12" s="82"/>
      <c r="C12" s="94"/>
      <c r="D12" s="95"/>
      <c r="E12" s="96"/>
      <c r="F12" s="95"/>
      <c r="G12" s="84"/>
      <c r="H12" s="84"/>
      <c r="I12" s="85"/>
      <c r="J12" s="87"/>
    </row>
    <row r="13" spans="1:10" ht="25.5">
      <c r="A13" s="69" t="s">
        <v>42</v>
      </c>
      <c r="B13" s="88" t="s">
        <v>70</v>
      </c>
      <c r="C13" s="94"/>
      <c r="D13" s="95"/>
      <c r="E13" s="96"/>
      <c r="F13" s="95"/>
      <c r="G13" s="84"/>
      <c r="H13" s="84"/>
      <c r="I13" s="85"/>
      <c r="J13" s="87"/>
    </row>
    <row r="14" spans="1:10" ht="12.75">
      <c r="A14" s="69"/>
      <c r="B14" s="88"/>
      <c r="C14" s="83"/>
      <c r="D14" s="86"/>
      <c r="E14" s="85"/>
      <c r="F14" s="86"/>
      <c r="G14" s="84"/>
      <c r="H14" s="84"/>
      <c r="I14" s="85"/>
      <c r="J14" s="87"/>
    </row>
    <row r="15" spans="1:10" ht="12.75">
      <c r="A15" s="69" t="s">
        <v>43</v>
      </c>
      <c r="B15" s="88" t="s">
        <v>71</v>
      </c>
      <c r="C15" s="97"/>
      <c r="D15" s="86"/>
      <c r="E15" s="85"/>
      <c r="F15" s="86"/>
      <c r="G15" s="84"/>
      <c r="H15" s="84"/>
      <c r="I15" s="96"/>
      <c r="J15" s="98"/>
    </row>
    <row r="16" spans="1:10" ht="12.75">
      <c r="A16" s="69"/>
      <c r="B16" s="88"/>
      <c r="C16" s="83"/>
      <c r="D16" s="86"/>
      <c r="E16" s="85"/>
      <c r="F16" s="86"/>
      <c r="G16" s="84"/>
      <c r="H16" s="84"/>
      <c r="I16" s="85"/>
      <c r="J16" s="87"/>
    </row>
    <row r="17" spans="1:10" ht="12.75">
      <c r="A17" s="69" t="s">
        <v>47</v>
      </c>
      <c r="B17" s="88" t="s">
        <v>72</v>
      </c>
      <c r="C17" s="83"/>
      <c r="D17" s="86"/>
      <c r="G17" s="96"/>
      <c r="H17" s="98"/>
      <c r="I17" s="85"/>
      <c r="J17" s="87"/>
    </row>
    <row r="18" spans="1:10" ht="12.75">
      <c r="A18" s="69"/>
      <c r="B18" s="99"/>
      <c r="C18" s="97"/>
      <c r="D18" s="86"/>
      <c r="E18" s="85"/>
      <c r="F18" s="86"/>
      <c r="G18" s="84"/>
      <c r="H18" s="84"/>
      <c r="J18" s="87"/>
    </row>
    <row r="19" spans="1:10" ht="12.75">
      <c r="A19" s="100"/>
      <c r="B19" s="101"/>
      <c r="C19" s="102"/>
      <c r="D19" s="103"/>
      <c r="E19" s="104"/>
      <c r="F19" s="103"/>
      <c r="G19" s="105"/>
      <c r="H19" s="105"/>
      <c r="I19" s="104"/>
      <c r="J19" s="106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352" t="s">
        <v>64</v>
      </c>
      <c r="B1" s="352"/>
      <c r="C1" s="353" t="s">
        <v>65</v>
      </c>
      <c r="D1" s="353"/>
      <c r="E1" s="353"/>
      <c r="F1" s="353"/>
      <c r="G1" s="353"/>
      <c r="H1" s="353"/>
      <c r="I1" s="353"/>
      <c r="J1" s="353"/>
    </row>
    <row r="2" spans="1:11" ht="14.25" customHeight="1">
      <c r="A2" s="352"/>
      <c r="B2" s="352"/>
      <c r="C2" s="354">
        <v>15</v>
      </c>
      <c r="D2" s="354"/>
      <c r="E2" s="355">
        <v>30</v>
      </c>
      <c r="F2" s="355"/>
      <c r="G2" s="354">
        <v>45</v>
      </c>
      <c r="H2" s="354"/>
      <c r="I2" s="354">
        <v>60</v>
      </c>
      <c r="J2" s="354"/>
      <c r="K2" s="107"/>
    </row>
    <row r="3" spans="1:11" ht="12.75">
      <c r="A3" s="108"/>
      <c r="B3" s="109"/>
      <c r="C3" s="110"/>
      <c r="D3" s="111"/>
      <c r="E3" s="112"/>
      <c r="F3" s="113"/>
      <c r="G3" s="114"/>
      <c r="H3" s="115"/>
      <c r="I3" s="114"/>
      <c r="J3" s="115"/>
      <c r="K3" s="107"/>
    </row>
    <row r="4" spans="1:11" ht="38.25">
      <c r="A4" s="108" t="s">
        <v>8</v>
      </c>
      <c r="B4" s="116" t="s">
        <v>73</v>
      </c>
      <c r="C4" s="117"/>
      <c r="D4" s="118"/>
      <c r="E4" s="119"/>
      <c r="F4" s="120"/>
      <c r="G4" s="119"/>
      <c r="H4" s="119"/>
      <c r="I4" s="121"/>
      <c r="J4" s="122"/>
      <c r="K4" s="107"/>
    </row>
    <row r="5" spans="1:10" ht="12.75">
      <c r="A5" s="108"/>
      <c r="B5" s="116"/>
      <c r="C5" s="123"/>
      <c r="D5" s="124"/>
      <c r="E5" s="125"/>
      <c r="F5" s="124"/>
      <c r="G5" s="125"/>
      <c r="H5" s="125"/>
      <c r="I5" s="126"/>
      <c r="J5" s="127"/>
    </row>
    <row r="6" spans="1:10" ht="38.25">
      <c r="A6" s="108" t="s">
        <v>17</v>
      </c>
      <c r="B6" s="116" t="s">
        <v>74</v>
      </c>
      <c r="C6" s="123"/>
      <c r="D6" s="125"/>
      <c r="E6" s="128"/>
      <c r="F6" s="128"/>
      <c r="G6" s="128"/>
      <c r="H6" s="128"/>
      <c r="I6" s="126"/>
      <c r="J6" s="127"/>
    </row>
    <row r="7" spans="1:10" ht="12.75">
      <c r="A7" s="129"/>
      <c r="B7" s="130"/>
      <c r="C7" s="131"/>
      <c r="D7" s="132"/>
      <c r="E7" s="133"/>
      <c r="F7" s="90"/>
      <c r="G7" s="132"/>
      <c r="H7" s="132"/>
      <c r="I7" s="134"/>
      <c r="J7" s="135"/>
    </row>
    <row r="8" spans="1:10" ht="12.75">
      <c r="A8" s="108" t="s">
        <v>25</v>
      </c>
      <c r="B8" s="116" t="s">
        <v>68</v>
      </c>
      <c r="C8" s="136"/>
      <c r="D8" s="137"/>
      <c r="E8" s="134"/>
      <c r="F8" s="132"/>
      <c r="G8" s="132"/>
      <c r="H8" s="138"/>
      <c r="I8" s="132"/>
      <c r="J8" s="135"/>
    </row>
    <row r="9" spans="1:11" ht="12.75">
      <c r="A9" s="129"/>
      <c r="B9" s="139"/>
      <c r="C9" s="140"/>
      <c r="D9" s="141"/>
      <c r="E9" s="134"/>
      <c r="F9" s="132"/>
      <c r="G9" s="142"/>
      <c r="H9" s="132"/>
      <c r="I9" s="134"/>
      <c r="J9" s="133"/>
      <c r="K9" s="107"/>
    </row>
    <row r="10" spans="1:11" ht="12.75">
      <c r="A10" s="108" t="s">
        <v>29</v>
      </c>
      <c r="B10" s="143" t="s">
        <v>69</v>
      </c>
      <c r="C10" s="144"/>
      <c r="D10" s="141"/>
      <c r="E10" s="134"/>
      <c r="F10" s="138"/>
      <c r="G10" s="128"/>
      <c r="H10" s="128"/>
      <c r="I10" s="134"/>
      <c r="J10" s="133"/>
      <c r="K10" s="107"/>
    </row>
    <row r="11" spans="1:11" ht="12.75">
      <c r="A11" s="108"/>
      <c r="B11" s="145"/>
      <c r="C11" s="146"/>
      <c r="D11" s="138"/>
      <c r="E11" s="132"/>
      <c r="F11" s="138"/>
      <c r="G11" s="132"/>
      <c r="H11" s="132"/>
      <c r="I11" s="134"/>
      <c r="J11" s="133"/>
      <c r="K11" s="107"/>
    </row>
    <row r="12" spans="1:11" ht="12.75">
      <c r="A12" s="129"/>
      <c r="B12" s="139"/>
      <c r="C12" s="133"/>
      <c r="D12" s="138"/>
      <c r="E12" s="132"/>
      <c r="F12" s="138"/>
      <c r="G12" s="132"/>
      <c r="H12" s="132"/>
      <c r="I12" s="134"/>
      <c r="J12" s="133"/>
      <c r="K12" s="107"/>
    </row>
    <row r="13" spans="1:11" ht="25.5">
      <c r="A13" s="108" t="s">
        <v>42</v>
      </c>
      <c r="B13" s="145" t="s">
        <v>70</v>
      </c>
      <c r="C13" s="128"/>
      <c r="D13" s="118"/>
      <c r="E13" s="128"/>
      <c r="F13" s="118"/>
      <c r="G13" s="147"/>
      <c r="H13" s="132"/>
      <c r="I13" s="134"/>
      <c r="J13" s="133"/>
      <c r="K13" s="107"/>
    </row>
    <row r="14" spans="1:11" ht="12.75">
      <c r="A14" s="108"/>
      <c r="B14" s="116"/>
      <c r="C14" s="131"/>
      <c r="D14" s="138"/>
      <c r="E14" s="132"/>
      <c r="F14" s="138"/>
      <c r="G14" s="132"/>
      <c r="H14" s="132"/>
      <c r="I14" s="134"/>
      <c r="J14" s="133"/>
      <c r="K14" s="107"/>
    </row>
    <row r="15" spans="1:10" ht="12.75">
      <c r="A15" s="108" t="s">
        <v>43</v>
      </c>
      <c r="B15" s="145" t="s">
        <v>72</v>
      </c>
      <c r="C15" s="133"/>
      <c r="D15" s="138"/>
      <c r="E15" s="132"/>
      <c r="F15" s="138"/>
      <c r="G15" s="128"/>
      <c r="H15" s="128"/>
      <c r="I15" s="134"/>
      <c r="J15" s="135"/>
    </row>
    <row r="16" spans="1:11" ht="12.75">
      <c r="A16" s="108"/>
      <c r="B16" s="148"/>
      <c r="C16" s="149"/>
      <c r="D16" s="150"/>
      <c r="E16" s="151"/>
      <c r="F16" s="150"/>
      <c r="G16" s="151"/>
      <c r="H16" s="151"/>
      <c r="I16" s="152"/>
      <c r="J16" s="153"/>
      <c r="K16" s="107"/>
    </row>
    <row r="17" spans="1:11" ht="12.75">
      <c r="A17" s="108" t="s">
        <v>47</v>
      </c>
      <c r="B17" s="145" t="s">
        <v>71</v>
      </c>
      <c r="C17" s="149"/>
      <c r="D17" s="150"/>
      <c r="E17" s="151"/>
      <c r="F17" s="150"/>
      <c r="G17" s="154"/>
      <c r="H17" s="154"/>
      <c r="I17" s="155"/>
      <c r="J17" s="156"/>
      <c r="K17" s="107"/>
    </row>
    <row r="18" spans="1:11" ht="12.75">
      <c r="A18" s="108"/>
      <c r="B18" s="145"/>
      <c r="C18" s="149"/>
      <c r="D18" s="150"/>
      <c r="E18" s="151"/>
      <c r="F18" s="150"/>
      <c r="G18" s="151"/>
      <c r="H18" s="151"/>
      <c r="I18" s="152"/>
      <c r="J18" s="157"/>
      <c r="K18" s="90"/>
    </row>
    <row r="19" spans="1:11" ht="12.75">
      <c r="A19" s="108"/>
      <c r="B19" s="145"/>
      <c r="C19" s="149"/>
      <c r="D19" s="150"/>
      <c r="E19" s="151"/>
      <c r="F19" s="150"/>
      <c r="G19" s="151"/>
      <c r="H19" s="151"/>
      <c r="K19" s="107"/>
    </row>
    <row r="20" spans="1:11" ht="12.75">
      <c r="A20" s="108" t="s">
        <v>75</v>
      </c>
      <c r="B20" s="116" t="s">
        <v>76</v>
      </c>
      <c r="C20" s="158"/>
      <c r="D20" s="159"/>
      <c r="I20" s="152"/>
      <c r="J20" s="153"/>
      <c r="K20" s="107"/>
    </row>
    <row r="21" spans="1:11" ht="12.75">
      <c r="A21" s="160"/>
      <c r="B21" s="161"/>
      <c r="C21" s="153"/>
      <c r="D21" s="162"/>
      <c r="E21" s="153"/>
      <c r="F21" s="162"/>
      <c r="G21" s="163"/>
      <c r="H21" s="153"/>
      <c r="I21" s="163"/>
      <c r="J21" s="164"/>
      <c r="K21" s="107"/>
    </row>
    <row r="22" spans="1:8" ht="12.75">
      <c r="A22" s="165"/>
      <c r="C22" s="165"/>
      <c r="E22" s="165"/>
      <c r="H22" s="165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356" t="s">
        <v>64</v>
      </c>
      <c r="B1" s="356"/>
      <c r="C1" s="357" t="s">
        <v>65</v>
      </c>
      <c r="D1" s="357"/>
      <c r="E1" s="357"/>
      <c r="F1" s="357"/>
      <c r="G1" s="357"/>
      <c r="H1" s="357"/>
      <c r="I1" s="357"/>
      <c r="J1" s="357"/>
    </row>
    <row r="2" spans="1:10" ht="13.5" customHeight="1">
      <c r="A2" s="356"/>
      <c r="B2" s="356"/>
      <c r="C2" s="358">
        <v>30</v>
      </c>
      <c r="D2" s="358"/>
      <c r="E2" s="359">
        <v>60</v>
      </c>
      <c r="F2" s="359"/>
      <c r="G2" s="359">
        <v>90</v>
      </c>
      <c r="H2" s="359"/>
      <c r="I2" s="360">
        <v>120</v>
      </c>
      <c r="J2" s="360"/>
    </row>
    <row r="3" spans="1:10" ht="12.75">
      <c r="A3" s="166"/>
      <c r="B3" s="167"/>
      <c r="C3" s="168"/>
      <c r="D3" s="111"/>
      <c r="E3" s="115"/>
      <c r="F3" s="111"/>
      <c r="G3" s="115"/>
      <c r="H3" s="115"/>
      <c r="I3" s="114"/>
      <c r="J3" s="169"/>
    </row>
    <row r="4" spans="1:10" ht="25.5">
      <c r="A4" s="108" t="s">
        <v>8</v>
      </c>
      <c r="B4" s="170" t="s">
        <v>73</v>
      </c>
      <c r="C4" s="171"/>
      <c r="D4" s="118"/>
      <c r="E4" s="122"/>
      <c r="F4" s="120"/>
      <c r="G4" s="122"/>
      <c r="H4" s="122"/>
      <c r="I4" s="121"/>
      <c r="J4" s="172"/>
    </row>
    <row r="5" spans="1:10" ht="12.75">
      <c r="A5" s="108"/>
      <c r="B5" s="170"/>
      <c r="C5" s="173"/>
      <c r="D5" s="124"/>
      <c r="E5" s="174"/>
      <c r="F5" s="124"/>
      <c r="G5" s="174"/>
      <c r="H5" s="174"/>
      <c r="I5" s="126"/>
      <c r="J5" s="175"/>
    </row>
    <row r="6" spans="1:10" ht="12.75">
      <c r="A6" s="108" t="s">
        <v>17</v>
      </c>
      <c r="B6" s="170" t="s">
        <v>77</v>
      </c>
      <c r="C6" s="173"/>
      <c r="D6" s="174"/>
      <c r="E6" s="176"/>
      <c r="F6" s="176"/>
      <c r="G6" s="133"/>
      <c r="H6" s="133"/>
      <c r="I6" s="126"/>
      <c r="J6" s="175"/>
    </row>
    <row r="7" spans="1:10" ht="12.75">
      <c r="A7" s="129"/>
      <c r="B7" s="177"/>
      <c r="C7" s="178"/>
      <c r="D7" s="133"/>
      <c r="E7" s="133"/>
      <c r="F7" s="179"/>
      <c r="G7" s="133"/>
      <c r="H7" s="133"/>
      <c r="I7" s="134"/>
      <c r="J7" s="180"/>
    </row>
    <row r="8" spans="1:10" ht="12.75">
      <c r="A8" s="108" t="s">
        <v>25</v>
      </c>
      <c r="B8" s="170" t="s">
        <v>68</v>
      </c>
      <c r="C8" s="168"/>
      <c r="D8" s="115"/>
      <c r="E8" s="134"/>
      <c r="F8" s="133"/>
      <c r="G8" s="176"/>
      <c r="H8" s="118"/>
      <c r="I8" s="133"/>
      <c r="J8" s="180"/>
    </row>
    <row r="9" spans="1:10" ht="12.75">
      <c r="A9" s="129"/>
      <c r="B9" s="177"/>
      <c r="C9" s="168"/>
      <c r="D9" s="179"/>
      <c r="E9" s="134"/>
      <c r="F9" s="133"/>
      <c r="G9" s="115"/>
      <c r="H9" s="133"/>
      <c r="I9" s="134"/>
      <c r="J9" s="180"/>
    </row>
    <row r="10" spans="1:10" ht="25.5">
      <c r="A10" s="108" t="s">
        <v>29</v>
      </c>
      <c r="B10" s="170" t="s">
        <v>70</v>
      </c>
      <c r="C10" s="168"/>
      <c r="D10" s="179"/>
      <c r="E10" s="155"/>
      <c r="F10" s="118"/>
      <c r="G10" s="176"/>
      <c r="H10" s="176"/>
      <c r="I10" s="134"/>
      <c r="J10" s="180"/>
    </row>
    <row r="11" spans="1:10" ht="12.75">
      <c r="A11" s="129"/>
      <c r="B11" s="177"/>
      <c r="C11" s="178"/>
      <c r="D11" s="138"/>
      <c r="E11" s="133"/>
      <c r="F11" s="138"/>
      <c r="G11" s="133"/>
      <c r="H11" s="133"/>
      <c r="I11" s="134"/>
      <c r="J11" s="180"/>
    </row>
    <row r="12" spans="1:10" ht="12.75">
      <c r="A12" s="108" t="s">
        <v>42</v>
      </c>
      <c r="B12" s="181" t="s">
        <v>72</v>
      </c>
      <c r="C12" s="171"/>
      <c r="D12" s="118"/>
      <c r="E12" s="133"/>
      <c r="F12" s="138"/>
      <c r="G12" s="115"/>
      <c r="H12" s="133"/>
      <c r="I12" s="134"/>
      <c r="J12" s="180"/>
    </row>
    <row r="13" spans="1:10" ht="12.75">
      <c r="A13" s="108"/>
      <c r="B13" s="181"/>
      <c r="C13" s="178"/>
      <c r="D13" s="138"/>
      <c r="E13" s="133"/>
      <c r="F13" s="138"/>
      <c r="G13" s="115"/>
      <c r="H13" s="133"/>
      <c r="I13" s="134"/>
      <c r="J13" s="180"/>
    </row>
    <row r="14" spans="1:10" ht="12.75">
      <c r="A14" s="108"/>
      <c r="B14" s="170"/>
      <c r="C14" s="178"/>
      <c r="D14" s="138"/>
      <c r="E14" s="133"/>
      <c r="F14" s="138"/>
      <c r="G14" s="133"/>
      <c r="H14" s="133"/>
      <c r="I14" s="134"/>
      <c r="J14" s="180"/>
    </row>
    <row r="15" spans="1:10" ht="12.75">
      <c r="A15" s="108" t="s">
        <v>43</v>
      </c>
      <c r="B15" s="170" t="s">
        <v>78</v>
      </c>
      <c r="C15" s="178"/>
      <c r="D15" s="138"/>
      <c r="E15" s="133"/>
      <c r="F15" s="138"/>
      <c r="G15" s="133"/>
      <c r="H15" s="133"/>
      <c r="I15" s="155"/>
      <c r="J15" s="182"/>
    </row>
    <row r="16" spans="1:10" ht="12.75">
      <c r="A16" s="108"/>
      <c r="B16" s="170"/>
      <c r="C16" s="178"/>
      <c r="D16" s="138"/>
      <c r="E16" s="133"/>
      <c r="F16" s="138"/>
      <c r="G16" s="133"/>
      <c r="H16" s="133"/>
      <c r="I16" s="134"/>
      <c r="J16" s="180"/>
    </row>
    <row r="17" spans="1:15" ht="12.75">
      <c r="A17" s="108"/>
      <c r="B17" s="170"/>
      <c r="C17" s="168"/>
      <c r="D17" s="138"/>
      <c r="E17" s="133"/>
      <c r="F17" s="138"/>
      <c r="G17" s="133"/>
      <c r="H17" s="133"/>
      <c r="I17" s="134"/>
      <c r="J17" s="180"/>
      <c r="M17" s="183"/>
      <c r="N17" s="183"/>
      <c r="O17" s="183"/>
    </row>
    <row r="18" spans="1:15" ht="12.75">
      <c r="A18" s="108" t="s">
        <v>47</v>
      </c>
      <c r="B18" s="170" t="s">
        <v>71</v>
      </c>
      <c r="C18" s="168"/>
      <c r="D18" s="138"/>
      <c r="E18" s="133"/>
      <c r="F18" s="138"/>
      <c r="G18" s="133"/>
      <c r="H18" s="133"/>
      <c r="I18" s="155"/>
      <c r="J18" s="182"/>
      <c r="M18" s="183"/>
      <c r="N18" s="183"/>
      <c r="O18" s="183"/>
    </row>
    <row r="19" spans="1:15" ht="12.75">
      <c r="A19" s="108"/>
      <c r="B19" s="170"/>
      <c r="C19" s="168"/>
      <c r="D19" s="138"/>
      <c r="E19" s="133"/>
      <c r="F19" s="138"/>
      <c r="G19" s="133"/>
      <c r="H19" s="133"/>
      <c r="I19" s="134"/>
      <c r="J19" s="180"/>
      <c r="M19" s="183"/>
      <c r="N19" s="183"/>
      <c r="O19" s="183"/>
    </row>
    <row r="20" spans="1:10" ht="12.75">
      <c r="A20" s="108"/>
      <c r="B20" s="170"/>
      <c r="C20" s="168"/>
      <c r="D20" s="138"/>
      <c r="E20" s="133"/>
      <c r="F20" s="138"/>
      <c r="G20" s="133"/>
      <c r="H20" s="133"/>
      <c r="I20" s="179"/>
      <c r="J20" s="184"/>
    </row>
    <row r="21" spans="1:10" ht="12.75">
      <c r="A21" s="108" t="s">
        <v>75</v>
      </c>
      <c r="B21" s="170" t="s">
        <v>76</v>
      </c>
      <c r="C21" s="178"/>
      <c r="D21" s="138"/>
      <c r="E21" s="185"/>
      <c r="F21" s="185"/>
      <c r="G21" s="186"/>
      <c r="H21" s="186"/>
      <c r="I21" s="134"/>
      <c r="J21" s="180"/>
    </row>
    <row r="22" spans="1:10" ht="12.75">
      <c r="A22" s="187"/>
      <c r="B22" s="188"/>
      <c r="C22" s="189"/>
      <c r="D22" s="190"/>
      <c r="E22" s="191"/>
      <c r="F22" s="190"/>
      <c r="G22" s="191"/>
      <c r="H22" s="191"/>
      <c r="I22" s="192"/>
      <c r="J22" s="193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E7" sqref="E7"/>
    </sheetView>
  </sheetViews>
  <sheetFormatPr defaultColWidth="9.140625" defaultRowHeight="12.75"/>
  <cols>
    <col min="8" max="8" width="12.140625" style="0" bestFit="1" customWidth="1"/>
    <col min="10" max="10" width="11.00390625" style="0" bestFit="1" customWidth="1"/>
  </cols>
  <sheetData>
    <row r="1" spans="1:10" ht="12.75">
      <c r="A1" s="222"/>
      <c r="B1" s="223"/>
      <c r="C1" s="222"/>
      <c r="D1" s="223"/>
      <c r="E1" s="223"/>
      <c r="F1" s="224"/>
      <c r="G1" s="225"/>
      <c r="H1" s="226"/>
      <c r="I1" s="225"/>
      <c r="J1" s="226"/>
    </row>
    <row r="2" spans="1:10" ht="34.5" customHeight="1">
      <c r="A2" s="361" t="s">
        <v>258</v>
      </c>
      <c r="B2" s="361"/>
      <c r="C2" s="362" t="s">
        <v>259</v>
      </c>
      <c r="D2" s="362"/>
      <c r="E2" s="362"/>
      <c r="F2" s="362"/>
      <c r="G2" s="362"/>
      <c r="H2" s="362"/>
      <c r="I2" s="362"/>
      <c r="J2" s="362"/>
    </row>
    <row r="3" spans="1:10" ht="12.75">
      <c r="A3" s="222"/>
      <c r="B3" s="223"/>
      <c r="C3" s="222"/>
      <c r="D3" s="223"/>
      <c r="E3" s="223"/>
      <c r="F3" s="224"/>
      <c r="G3" s="225"/>
      <c r="H3" s="226"/>
      <c r="I3" s="225"/>
      <c r="J3" s="226"/>
    </row>
    <row r="4" spans="1:10" ht="24">
      <c r="A4" s="228" t="s">
        <v>229</v>
      </c>
      <c r="B4" s="228" t="s">
        <v>230</v>
      </c>
      <c r="C4" s="229" t="s">
        <v>231</v>
      </c>
      <c r="D4" s="228" t="s">
        <v>24</v>
      </c>
      <c r="E4" s="228" t="s">
        <v>232</v>
      </c>
      <c r="F4" s="230" t="s">
        <v>233</v>
      </c>
      <c r="G4" s="231" t="s">
        <v>234</v>
      </c>
      <c r="H4" s="231" t="s">
        <v>235</v>
      </c>
      <c r="I4" s="232" t="s">
        <v>236</v>
      </c>
      <c r="J4" s="231" t="s">
        <v>237</v>
      </c>
    </row>
    <row r="5" spans="1:10" ht="78.75">
      <c r="A5" s="233" t="s">
        <v>238</v>
      </c>
      <c r="B5" s="233" t="s">
        <v>239</v>
      </c>
      <c r="C5" s="234" t="s">
        <v>240</v>
      </c>
      <c r="D5" s="235" t="s">
        <v>46</v>
      </c>
      <c r="E5" s="235">
        <v>700200251</v>
      </c>
      <c r="F5" s="236" t="s">
        <v>241</v>
      </c>
      <c r="G5" s="237" t="s">
        <v>242</v>
      </c>
      <c r="H5" s="341">
        <f>459.7152</f>
        <v>459.7152</v>
      </c>
      <c r="I5" s="238" t="s">
        <v>243</v>
      </c>
      <c r="J5" s="239">
        <f>ROUND(H5*F5,2)</f>
        <v>13.79</v>
      </c>
    </row>
    <row r="6" spans="1:10" ht="112.5">
      <c r="A6" s="233" t="s">
        <v>244</v>
      </c>
      <c r="B6" s="233" t="s">
        <v>245</v>
      </c>
      <c r="C6" s="234" t="s">
        <v>246</v>
      </c>
      <c r="D6" s="235" t="s">
        <v>247</v>
      </c>
      <c r="E6" s="235"/>
      <c r="F6" s="236" t="s">
        <v>248</v>
      </c>
      <c r="G6" s="237" t="s">
        <v>249</v>
      </c>
      <c r="H6" s="340">
        <f>459.7152</f>
        <v>459.7152</v>
      </c>
      <c r="I6" s="238" t="s">
        <v>243</v>
      </c>
      <c r="J6" s="239">
        <f>ROUND(H6*F6,2)</f>
        <v>919.43</v>
      </c>
    </row>
    <row r="7" spans="1:10" ht="101.25">
      <c r="A7" s="233" t="s">
        <v>250</v>
      </c>
      <c r="B7" s="233" t="s">
        <v>251</v>
      </c>
      <c r="C7" s="234" t="s">
        <v>252</v>
      </c>
      <c r="D7" s="235" t="s">
        <v>247</v>
      </c>
      <c r="E7" s="235"/>
      <c r="F7" s="236" t="s">
        <v>248</v>
      </c>
      <c r="G7" s="237" t="s">
        <v>249</v>
      </c>
      <c r="H7" s="340">
        <f>459.7152</f>
        <v>459.7152</v>
      </c>
      <c r="I7" s="238" t="s">
        <v>243</v>
      </c>
      <c r="J7" s="239">
        <f>ROUND(H7*F7,2)</f>
        <v>919.43</v>
      </c>
    </row>
    <row r="8" spans="1:10" ht="33.75">
      <c r="A8" s="233" t="s">
        <v>253</v>
      </c>
      <c r="B8" s="233" t="s">
        <v>254</v>
      </c>
      <c r="C8" s="234" t="s">
        <v>255</v>
      </c>
      <c r="D8" s="235" t="s">
        <v>46</v>
      </c>
      <c r="E8" s="235">
        <v>700100101</v>
      </c>
      <c r="F8" s="236" t="s">
        <v>241</v>
      </c>
      <c r="G8" s="237" t="s">
        <v>242</v>
      </c>
      <c r="H8" s="340">
        <f>459.7152</f>
        <v>459.7152</v>
      </c>
      <c r="I8" s="238" t="s">
        <v>243</v>
      </c>
      <c r="J8" s="239">
        <f>ROUND(H8*F8,2)</f>
        <v>13.79</v>
      </c>
    </row>
    <row r="9" spans="1:10" ht="91.5" customHeight="1">
      <c r="A9" s="240" t="s">
        <v>256</v>
      </c>
      <c r="B9" s="250">
        <v>11131</v>
      </c>
      <c r="C9" s="241" t="s">
        <v>260</v>
      </c>
      <c r="D9" s="242" t="s">
        <v>12</v>
      </c>
      <c r="E9" s="242"/>
      <c r="F9" s="243" t="s">
        <v>257</v>
      </c>
      <c r="G9" s="244" t="s">
        <v>242</v>
      </c>
      <c r="H9" s="340">
        <f>459.7152</f>
        <v>459.7152</v>
      </c>
      <c r="I9" s="245" t="s">
        <v>243</v>
      </c>
      <c r="J9" s="239">
        <f>ROUND(H9*F9,2)</f>
        <v>482.7</v>
      </c>
    </row>
    <row r="10" spans="1:10" ht="12.75">
      <c r="A10" s="223"/>
      <c r="B10" s="223"/>
      <c r="C10" s="246"/>
      <c r="D10" s="247" t="s">
        <v>12</v>
      </c>
      <c r="E10" s="227"/>
      <c r="F10" s="224"/>
      <c r="G10" s="226"/>
      <c r="H10" s="226"/>
      <c r="I10" s="248"/>
      <c r="J10" s="249"/>
    </row>
    <row r="12" spans="8:10" ht="12.75">
      <c r="H12" s="339"/>
      <c r="J12" s="342">
        <f>SUM(J5:J9)</f>
        <v>2349.14</v>
      </c>
    </row>
  </sheetData>
  <sheetProtection/>
  <mergeCells count="2">
    <mergeCell ref="A2:B2"/>
    <mergeCell ref="C2:J2"/>
  </mergeCells>
  <printOptions/>
  <pageMargins left="0.5118110236220472" right="0.5118110236220472" top="0.7874015748031497" bottom="0.7874015748031497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F20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11.28125" style="0" customWidth="1"/>
    <col min="3" max="4" width="17.28125" style="0" bestFit="1" customWidth="1"/>
  </cols>
  <sheetData>
    <row r="8" spans="1:5" ht="12.75">
      <c r="A8" s="368" t="s">
        <v>92</v>
      </c>
      <c r="B8" s="368"/>
      <c r="C8" s="209" t="s">
        <v>93</v>
      </c>
      <c r="D8" s="209" t="s">
        <v>93</v>
      </c>
      <c r="E8" s="210"/>
    </row>
    <row r="9" spans="1:5" ht="12.75">
      <c r="A9" s="367" t="s">
        <v>95</v>
      </c>
      <c r="B9" s="367"/>
      <c r="C9" s="211">
        <f>'reforma escola'!G163</f>
        <v>733172.1112159999</v>
      </c>
      <c r="D9" s="369" t="e">
        <f>C10+C9</f>
        <v>#REF!</v>
      </c>
      <c r="E9" s="363"/>
    </row>
    <row r="10" spans="1:5" ht="12.75">
      <c r="A10" s="367" t="s">
        <v>94</v>
      </c>
      <c r="B10" s="367"/>
      <c r="C10" s="211" t="e">
        <f>#REF!</f>
        <v>#REF!</v>
      </c>
      <c r="D10" s="370"/>
      <c r="E10" s="363"/>
    </row>
    <row r="11" ht="12.75">
      <c r="E11" s="90"/>
    </row>
    <row r="12" spans="1:5" ht="12.75">
      <c r="A12" s="364" t="s">
        <v>96</v>
      </c>
      <c r="B12" s="366"/>
      <c r="C12" s="209" t="s">
        <v>93</v>
      </c>
      <c r="D12" s="209" t="s">
        <v>93</v>
      </c>
      <c r="E12" s="210"/>
    </row>
    <row r="13" spans="1:5" ht="12.75">
      <c r="A13" s="208" t="s">
        <v>97</v>
      </c>
      <c r="B13" s="208"/>
      <c r="C13" s="211" t="e">
        <f>#REF!</f>
        <v>#REF!</v>
      </c>
      <c r="D13" s="369" t="e">
        <f>SUM(C13:C14)</f>
        <v>#REF!</v>
      </c>
      <c r="E13" s="363"/>
    </row>
    <row r="14" spans="1:5" ht="12.75">
      <c r="A14" s="208" t="s">
        <v>98</v>
      </c>
      <c r="B14" s="208"/>
      <c r="C14" s="211" t="e">
        <f>#REF!</f>
        <v>#REF!</v>
      </c>
      <c r="D14" s="370"/>
      <c r="E14" s="363"/>
    </row>
    <row r="16" spans="1:4" ht="12.75">
      <c r="A16" s="364" t="s">
        <v>99</v>
      </c>
      <c r="B16" s="365"/>
      <c r="C16" s="366"/>
      <c r="D16" s="212" t="e">
        <f>D9+D13</f>
        <v>#REF!</v>
      </c>
    </row>
    <row r="20" ht="12.75">
      <c r="F20" t="s">
        <v>100</v>
      </c>
    </row>
  </sheetData>
  <sheetProtection/>
  <mergeCells count="9">
    <mergeCell ref="E9:E10"/>
    <mergeCell ref="E13:E14"/>
    <mergeCell ref="A16:C16"/>
    <mergeCell ref="A9:B9"/>
    <mergeCell ref="A10:B10"/>
    <mergeCell ref="A8:B8"/>
    <mergeCell ref="A12:B12"/>
    <mergeCell ref="D9:D10"/>
    <mergeCell ref="D13:D14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H21"/>
  <sheetViews>
    <sheetView zoomScalePageLayoutView="0" workbookViewId="0" topLeftCell="A16">
      <selection activeCell="F10" sqref="F10"/>
    </sheetView>
  </sheetViews>
  <sheetFormatPr defaultColWidth="9.140625" defaultRowHeight="12.75"/>
  <cols>
    <col min="1" max="1" width="4.421875" style="0" bestFit="1" customWidth="1"/>
    <col min="2" max="2" width="12.421875" style="0" bestFit="1" customWidth="1"/>
    <col min="3" max="3" width="17.7109375" style="0" customWidth="1"/>
    <col min="4" max="4" width="9.28125" style="0" customWidth="1"/>
    <col min="5" max="5" width="7.421875" style="0" customWidth="1"/>
    <col min="6" max="6" width="11.00390625" style="0" bestFit="1" customWidth="1"/>
    <col min="7" max="7" width="13.28125" style="0" bestFit="1" customWidth="1"/>
    <col min="8" max="8" width="33.140625" style="0" customWidth="1"/>
  </cols>
  <sheetData>
    <row r="8" spans="1:8" ht="13.5">
      <c r="A8" s="8"/>
      <c r="B8" s="8"/>
      <c r="C8" s="346" t="s">
        <v>283</v>
      </c>
      <c r="D8" s="346"/>
      <c r="E8" s="346"/>
      <c r="F8" s="346"/>
      <c r="G8" s="346"/>
      <c r="H8" s="27"/>
    </row>
    <row r="9" spans="1:8" ht="13.5" thickBot="1">
      <c r="A9" s="29" t="s">
        <v>0</v>
      </c>
      <c r="B9" s="29" t="s">
        <v>1</v>
      </c>
      <c r="C9" s="30" t="s">
        <v>2</v>
      </c>
      <c r="D9" s="29" t="s">
        <v>3</v>
      </c>
      <c r="E9" s="31" t="s">
        <v>4</v>
      </c>
      <c r="F9" s="32" t="s">
        <v>5</v>
      </c>
      <c r="G9" s="33" t="s">
        <v>6</v>
      </c>
      <c r="H9" s="34" t="s">
        <v>7</v>
      </c>
    </row>
    <row r="10" spans="1:8" ht="240">
      <c r="A10" s="273" t="s">
        <v>9</v>
      </c>
      <c r="B10" s="195" t="s">
        <v>134</v>
      </c>
      <c r="C10" s="196" t="s">
        <v>133</v>
      </c>
      <c r="D10" s="197" t="s">
        <v>12</v>
      </c>
      <c r="E10" s="275">
        <f>(2.35+2.35+3.3+3.3)*1+(3.3+3.3+2.35+2.35)*1+(2.47+3.54+2.35+2.56)*1+(2.35+2.56+3.54455)*1+(3.6+3.6+6.1+6.1)*1+(3.6+3.6+6.1+6.1)*1+(1.1+1.1+1.67+1.67)*2.6+(1.72+1.72+2.97+2.97)*1+(1.72+1.72+2.97+2.97)*1+(2+2+1.72+1.72)*1+(4.85+4.85+3.6+3.6)*1</f>
        <v>138.27855</v>
      </c>
      <c r="F10" s="276">
        <v>17.72</v>
      </c>
      <c r="G10" s="276">
        <f>ROUND(E10*F10,2)</f>
        <v>2450.3</v>
      </c>
      <c r="H10" s="205" t="s">
        <v>359</v>
      </c>
    </row>
    <row r="11" spans="1:8" ht="254.25" customHeight="1">
      <c r="A11" s="273" t="s">
        <v>13</v>
      </c>
      <c r="B11" s="195" t="s">
        <v>350</v>
      </c>
      <c r="C11" s="196" t="s">
        <v>348</v>
      </c>
      <c r="D11" s="197" t="s">
        <v>349</v>
      </c>
      <c r="E11" s="275">
        <f>(2.35+2.35+3.3+3.3)*1+(3.3+3.3+2.35+2.35)*1+(2.47+3.54+2.35+2.56)*1+(2.35+2.56+3.54455)*1+(3.6+3.6+6.1+6.1)*1+(3.6+3.6+6.1+6.1)*1+(1.1+1.1+1.67+1.67)*2.6+(1.72+1.72+2.97+2.97)*1+(1.72+1.72+2.97+2.97)*1+(2+2+1.72+1.72)*1+(4.85+4.85+3.6+3.6)*1*0.01*1.5</f>
        <v>121.63204999999999</v>
      </c>
      <c r="F11" s="276">
        <v>1.37</v>
      </c>
      <c r="G11" s="276">
        <f aca="true" t="shared" si="0" ref="G11:G17">ROUND(E11*F11,2)</f>
        <v>166.64</v>
      </c>
      <c r="H11" s="205" t="s">
        <v>360</v>
      </c>
    </row>
    <row r="12" spans="1:8" ht="240">
      <c r="A12" s="273" t="s">
        <v>16</v>
      </c>
      <c r="B12" s="195" t="s">
        <v>123</v>
      </c>
      <c r="C12" s="196" t="s">
        <v>122</v>
      </c>
      <c r="D12" s="197" t="s">
        <v>12</v>
      </c>
      <c r="E12" s="274">
        <f>(2.47+3.54+2.35+2.56)*2.6+(2.35+2.56+3.54+4.55)*2.6+(2.35+2.35+3.3+3.3)*2.6+(3.3+3.3+2.35+2.35)*2.6+(1.1+1.1+1.67+1.67)*2.6+(1.72+1.72+2.97+2.97)*2.6+(1.72+1.72+2.97+2.97)*2.6+(2+2+1.72+1.72)*2.6+(4.85+4.85+3.6+3.6)*2.6+(3.6+3.6+6.1+6.1)*2.6+(3.6+3.6+6.1+6.1)*2.6</f>
        <v>348.296</v>
      </c>
      <c r="F12" s="276">
        <v>135.94</v>
      </c>
      <c r="G12" s="276">
        <f t="shared" si="0"/>
        <v>47347.36</v>
      </c>
      <c r="H12" s="196" t="s">
        <v>358</v>
      </c>
    </row>
    <row r="13" spans="1:8" ht="84">
      <c r="A13" s="273" t="s">
        <v>80</v>
      </c>
      <c r="B13" s="195" t="s">
        <v>143</v>
      </c>
      <c r="C13" s="196" t="s">
        <v>142</v>
      </c>
      <c r="D13" s="197" t="s">
        <v>21</v>
      </c>
      <c r="E13" s="274">
        <v>24</v>
      </c>
      <c r="F13" s="276">
        <v>141.71</v>
      </c>
      <c r="G13" s="276">
        <f t="shared" si="0"/>
        <v>3401.04</v>
      </c>
      <c r="H13" s="253" t="s">
        <v>381</v>
      </c>
    </row>
    <row r="14" spans="1:8" ht="252">
      <c r="A14" s="273" t="s">
        <v>382</v>
      </c>
      <c r="B14" s="195" t="s">
        <v>362</v>
      </c>
      <c r="C14" s="196" t="s">
        <v>361</v>
      </c>
      <c r="D14" s="277" t="s">
        <v>12</v>
      </c>
      <c r="E14" s="275">
        <f>(0.6*1.22)+(0.6*1.76)+(0.6*1.65)+(0.6*1)+(0.45*1)+(0.6*0.7)+(0.6*1.12)+(2.35*0.6*2)</f>
        <v>7.74</v>
      </c>
      <c r="F14" s="276">
        <v>93.11</v>
      </c>
      <c r="G14" s="276">
        <f t="shared" si="0"/>
        <v>720.67</v>
      </c>
      <c r="H14" s="205" t="s">
        <v>363</v>
      </c>
    </row>
    <row r="15" spans="1:8" ht="108">
      <c r="A15" s="273" t="s">
        <v>383</v>
      </c>
      <c r="B15" s="195" t="s">
        <v>220</v>
      </c>
      <c r="C15" s="196" t="s">
        <v>218</v>
      </c>
      <c r="D15" s="197" t="s">
        <v>219</v>
      </c>
      <c r="E15" s="275">
        <f>1.22+1.76+1.65+1+1+0.7+1.12+(2.35*2)</f>
        <v>13.149999999999999</v>
      </c>
      <c r="F15" s="276">
        <v>35.17</v>
      </c>
      <c r="G15" s="276">
        <f t="shared" si="0"/>
        <v>462.49</v>
      </c>
      <c r="H15" s="205" t="s">
        <v>364</v>
      </c>
    </row>
    <row r="16" spans="1:8" ht="96">
      <c r="A16" s="273" t="s">
        <v>384</v>
      </c>
      <c r="B16" s="195" t="s">
        <v>366</v>
      </c>
      <c r="C16" s="196" t="s">
        <v>365</v>
      </c>
      <c r="D16" s="197" t="s">
        <v>12</v>
      </c>
      <c r="E16" s="275">
        <f>(1.2*2*1.8)+(1.2*2*1.8)+(1.75*1.8)+(1.15*3*1.8)+(8*1.15*1.8)+(1.1*6*1.8)</f>
        <v>46.440000000000005</v>
      </c>
      <c r="F16" s="276">
        <v>31.09</v>
      </c>
      <c r="G16" s="276">
        <f t="shared" si="0"/>
        <v>1443.82</v>
      </c>
      <c r="H16" s="205" t="s">
        <v>380</v>
      </c>
    </row>
    <row r="17" spans="1:8" ht="144">
      <c r="A17" s="273" t="s">
        <v>385</v>
      </c>
      <c r="B17" s="195" t="s">
        <v>367</v>
      </c>
      <c r="C17" s="196" t="s">
        <v>379</v>
      </c>
      <c r="D17" s="197" t="s">
        <v>12</v>
      </c>
      <c r="E17" s="275">
        <f>E16</f>
        <v>46.440000000000005</v>
      </c>
      <c r="F17" s="276">
        <v>137.71</v>
      </c>
      <c r="G17" s="276">
        <f t="shared" si="0"/>
        <v>6395.25</v>
      </c>
      <c r="H17" s="205" t="s">
        <v>380</v>
      </c>
    </row>
    <row r="18" spans="1:8" ht="12.75">
      <c r="A18" s="273"/>
      <c r="B18" s="252"/>
      <c r="C18" s="253"/>
      <c r="D18" s="254"/>
      <c r="E18" s="274"/>
      <c r="F18" s="276"/>
      <c r="G18" s="276"/>
      <c r="H18" s="253"/>
    </row>
    <row r="19" spans="1:7" ht="13.5" thickBot="1">
      <c r="A19" s="60"/>
      <c r="B19" s="60"/>
      <c r="C19" s="60" t="s">
        <v>63</v>
      </c>
      <c r="D19" s="60"/>
      <c r="E19" s="60"/>
      <c r="F19" s="61"/>
      <c r="G19" s="62">
        <f>SUM(G10:G17)</f>
        <v>62387.57</v>
      </c>
    </row>
    <row r="20" spans="1:7" ht="13.5" thickBot="1">
      <c r="A20" s="60"/>
      <c r="B20" s="60"/>
      <c r="C20" s="60" t="s">
        <v>90</v>
      </c>
      <c r="D20" s="60"/>
      <c r="E20" s="60"/>
      <c r="F20" s="61"/>
      <c r="G20" s="62">
        <f>G19*0.2223</f>
        <v>13868.756811</v>
      </c>
    </row>
    <row r="21" spans="1:7" ht="13.5" thickBot="1">
      <c r="A21" s="60"/>
      <c r="B21" s="60"/>
      <c r="C21" s="60" t="s">
        <v>91</v>
      </c>
      <c r="D21" s="60"/>
      <c r="E21" s="60"/>
      <c r="F21" s="61"/>
      <c r="G21" s="62">
        <f>G20+G19</f>
        <v>76256.326811</v>
      </c>
    </row>
  </sheetData>
  <sheetProtection/>
  <mergeCells count="1">
    <mergeCell ref="C8:G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:B2"/>
    </sheetView>
  </sheetViews>
  <sheetFormatPr defaultColWidth="9.140625" defaultRowHeight="12.75"/>
  <cols>
    <col min="10" max="10" width="9.421875" style="0" bestFit="1" customWidth="1"/>
  </cols>
  <sheetData>
    <row r="1" spans="1:10" ht="12.75">
      <c r="A1" s="222"/>
      <c r="B1" s="223"/>
      <c r="C1" s="222"/>
      <c r="D1" s="223"/>
      <c r="E1" s="223"/>
      <c r="F1" s="224"/>
      <c r="G1" s="225"/>
      <c r="H1" s="226"/>
      <c r="I1" s="225"/>
      <c r="J1" s="226"/>
    </row>
    <row r="2" spans="1:10" ht="36.75" customHeight="1">
      <c r="A2" s="361" t="s">
        <v>367</v>
      </c>
      <c r="B2" s="361"/>
      <c r="C2" s="362" t="s">
        <v>379</v>
      </c>
      <c r="D2" s="362"/>
      <c r="E2" s="362"/>
      <c r="F2" s="362"/>
      <c r="G2" s="362"/>
      <c r="H2" s="362"/>
      <c r="I2" s="362"/>
      <c r="J2" s="362"/>
    </row>
    <row r="3" spans="1:10" ht="12.75">
      <c r="A3" s="222"/>
      <c r="B3" s="223"/>
      <c r="C3" s="222"/>
      <c r="D3" s="223"/>
      <c r="E3" s="223"/>
      <c r="F3" s="224"/>
      <c r="G3" s="225"/>
      <c r="H3" s="226"/>
      <c r="I3" s="225"/>
      <c r="J3" s="226"/>
    </row>
    <row r="4" spans="1:10" ht="24">
      <c r="A4" s="228" t="s">
        <v>229</v>
      </c>
      <c r="B4" s="228" t="s">
        <v>230</v>
      </c>
      <c r="C4" s="229" t="s">
        <v>231</v>
      </c>
      <c r="D4" s="228" t="s">
        <v>24</v>
      </c>
      <c r="E4" s="228" t="s">
        <v>232</v>
      </c>
      <c r="F4" s="230" t="s">
        <v>233</v>
      </c>
      <c r="G4" s="231" t="s">
        <v>234</v>
      </c>
      <c r="H4" s="231" t="s">
        <v>235</v>
      </c>
      <c r="I4" s="232" t="s">
        <v>236</v>
      </c>
      <c r="J4" s="231" t="s">
        <v>237</v>
      </c>
    </row>
    <row r="5" spans="1:10" ht="135">
      <c r="A5" s="233" t="s">
        <v>238</v>
      </c>
      <c r="B5" s="233" t="s">
        <v>368</v>
      </c>
      <c r="C5" s="234" t="s">
        <v>369</v>
      </c>
      <c r="D5" s="235" t="s">
        <v>370</v>
      </c>
      <c r="E5" s="235"/>
      <c r="F5" s="236" t="s">
        <v>371</v>
      </c>
      <c r="G5" s="237" t="s">
        <v>242</v>
      </c>
      <c r="H5" s="237">
        <v>77.3487</v>
      </c>
      <c r="I5" s="238" t="s">
        <v>243</v>
      </c>
      <c r="J5" s="239">
        <f>ROUND((F5*H5)*(1+(G5*0.01)),2)</f>
        <v>23.2</v>
      </c>
    </row>
    <row r="6" spans="1:10" ht="112.5">
      <c r="A6" s="233" t="s">
        <v>244</v>
      </c>
      <c r="B6" s="233" t="s">
        <v>245</v>
      </c>
      <c r="C6" s="234" t="s">
        <v>246</v>
      </c>
      <c r="D6" s="235" t="s">
        <v>247</v>
      </c>
      <c r="E6" s="235"/>
      <c r="F6" s="236" t="s">
        <v>372</v>
      </c>
      <c r="G6" s="237" t="s">
        <v>249</v>
      </c>
      <c r="H6" s="237">
        <v>22.86</v>
      </c>
      <c r="I6" s="238" t="s">
        <v>243</v>
      </c>
      <c r="J6" s="239">
        <f>ROUND((F6*H6)*(1+(G6*0.01)),2)</f>
        <v>58.86</v>
      </c>
    </row>
    <row r="7" spans="1:10" ht="101.25">
      <c r="A7" s="233" t="s">
        <v>250</v>
      </c>
      <c r="B7" s="233" t="s">
        <v>251</v>
      </c>
      <c r="C7" s="234" t="s">
        <v>252</v>
      </c>
      <c r="D7" s="235" t="s">
        <v>247</v>
      </c>
      <c r="E7" s="235"/>
      <c r="F7" s="236" t="s">
        <v>372</v>
      </c>
      <c r="G7" s="237" t="s">
        <v>249</v>
      </c>
      <c r="H7" s="237">
        <v>16.55</v>
      </c>
      <c r="I7" s="238" t="s">
        <v>243</v>
      </c>
      <c r="J7" s="239">
        <f>ROUND((F7*H7)*(1+(G7*0.01)),2)</f>
        <v>42.62</v>
      </c>
    </row>
    <row r="8" spans="1:10" ht="78.75">
      <c r="A8" s="233" t="s">
        <v>253</v>
      </c>
      <c r="B8" s="233" t="s">
        <v>373</v>
      </c>
      <c r="C8" s="234" t="s">
        <v>374</v>
      </c>
      <c r="D8" s="235" t="s">
        <v>46</v>
      </c>
      <c r="E8" s="235">
        <v>700101301</v>
      </c>
      <c r="F8" s="236" t="s">
        <v>375</v>
      </c>
      <c r="G8" s="237" t="s">
        <v>242</v>
      </c>
      <c r="H8" s="237">
        <v>438.7797</v>
      </c>
      <c r="I8" s="238" t="s">
        <v>243</v>
      </c>
      <c r="J8" s="239">
        <f>ROUND((F8*H8)*(1+(G8*0.01)),2)</f>
        <v>8.78</v>
      </c>
    </row>
    <row r="9" spans="1:10" ht="90">
      <c r="A9" s="233" t="s">
        <v>256</v>
      </c>
      <c r="B9" s="233" t="s">
        <v>376</v>
      </c>
      <c r="C9" s="234" t="s">
        <v>377</v>
      </c>
      <c r="D9" s="235" t="s">
        <v>21</v>
      </c>
      <c r="E9" s="235"/>
      <c r="F9" s="236" t="s">
        <v>378</v>
      </c>
      <c r="G9" s="237" t="s">
        <v>242</v>
      </c>
      <c r="H9" s="237">
        <v>13.28</v>
      </c>
      <c r="I9" s="238" t="s">
        <v>243</v>
      </c>
      <c r="J9" s="239">
        <f>ROUND((F9*H9)*(1+(G9*0.01)),2)</f>
        <v>4.25</v>
      </c>
    </row>
    <row r="10" spans="1:10" ht="12.75">
      <c r="A10" s="223"/>
      <c r="B10" s="223"/>
      <c r="C10" s="246"/>
      <c r="D10" s="247" t="s">
        <v>12</v>
      </c>
      <c r="E10" s="227"/>
      <c r="F10" s="224"/>
      <c r="G10" s="226"/>
      <c r="H10" s="226"/>
      <c r="I10" s="248"/>
      <c r="J10" s="249">
        <f>J9+J8+J7+J6+J5</f>
        <v>137.70999999999998</v>
      </c>
    </row>
  </sheetData>
  <sheetProtection/>
  <mergeCells count="2">
    <mergeCell ref="A2:B2"/>
    <mergeCell ref="C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showGridLines="0" tabSelected="1" zoomScalePageLayoutView="0" workbookViewId="0" topLeftCell="A154">
      <selection activeCell="C77" sqref="C77"/>
    </sheetView>
  </sheetViews>
  <sheetFormatPr defaultColWidth="9.140625" defaultRowHeight="12.75" customHeight="1"/>
  <cols>
    <col min="1" max="1" width="4.421875" style="1" customWidth="1"/>
    <col min="2" max="2" width="13.140625" style="1" customWidth="1"/>
    <col min="3" max="3" width="25.421875" style="2" customWidth="1"/>
    <col min="4" max="4" width="9.28125" style="1" customWidth="1"/>
    <col min="5" max="5" width="10.140625" style="3" customWidth="1"/>
    <col min="6" max="6" width="13.8515625" style="4" customWidth="1"/>
    <col min="7" max="7" width="14.140625" style="5" customWidth="1"/>
    <col min="8" max="8" width="41.140625" style="6" bestFit="1" customWidth="1"/>
    <col min="9" max="9" width="40.7109375" style="215" customWidth="1"/>
    <col min="10" max="10" width="9.00390625" style="7" customWidth="1"/>
    <col min="11" max="16384" width="9.140625" style="7" customWidth="1"/>
  </cols>
  <sheetData>
    <row r="1" spans="1:9" ht="12.75" customHeight="1">
      <c r="A1" s="8"/>
      <c r="B1" s="8"/>
      <c r="C1" s="9"/>
      <c r="D1" s="8"/>
      <c r="E1" s="10"/>
      <c r="F1" s="11"/>
      <c r="G1" s="11"/>
      <c r="H1" s="12"/>
      <c r="I1" s="220"/>
    </row>
    <row r="2" spans="1:9" ht="12.75" customHeight="1">
      <c r="A2" s="8"/>
      <c r="B2" s="8"/>
      <c r="C2" s="9"/>
      <c r="D2" s="8"/>
      <c r="E2" s="10"/>
      <c r="F2" s="11"/>
      <c r="G2" s="11"/>
      <c r="H2" s="12"/>
      <c r="I2" s="220"/>
    </row>
    <row r="3" spans="1:9" s="21" customFormat="1" ht="10.5" customHeight="1">
      <c r="A3" s="14"/>
      <c r="B3" s="15"/>
      <c r="C3" s="16"/>
      <c r="D3" s="17"/>
      <c r="E3" s="18"/>
      <c r="F3" s="19"/>
      <c r="G3" s="19"/>
      <c r="H3" s="20"/>
      <c r="I3" s="261"/>
    </row>
    <row r="4" spans="1:9" s="21" customFormat="1" ht="10.5" customHeight="1">
      <c r="A4" s="14"/>
      <c r="B4" s="15"/>
      <c r="C4" s="16"/>
      <c r="D4" s="17"/>
      <c r="E4" s="22"/>
      <c r="F4" s="11"/>
      <c r="G4" s="23"/>
      <c r="H4" s="24"/>
      <c r="I4" s="262"/>
    </row>
    <row r="5" spans="1:9" s="21" customFormat="1" ht="10.5" customHeight="1">
      <c r="A5" s="14"/>
      <c r="B5" s="15"/>
      <c r="C5" s="16"/>
      <c r="D5" s="17"/>
      <c r="E5" s="18"/>
      <c r="F5" s="19"/>
      <c r="G5" s="23"/>
      <c r="H5" s="24"/>
      <c r="I5" s="262"/>
    </row>
    <row r="6" spans="1:9" s="21" customFormat="1" ht="24.75" customHeight="1">
      <c r="A6" s="14"/>
      <c r="B6" s="15"/>
      <c r="C6" s="16"/>
      <c r="D6" s="17"/>
      <c r="E6" s="344"/>
      <c r="F6" s="344"/>
      <c r="G6" s="344"/>
      <c r="H6" s="25"/>
      <c r="I6" s="262"/>
    </row>
    <row r="7" spans="1:9" s="21" customFormat="1" ht="24.75" customHeight="1">
      <c r="A7" s="14"/>
      <c r="B7" s="15"/>
      <c r="C7" s="16"/>
      <c r="D7" s="17"/>
      <c r="E7" s="18"/>
      <c r="F7" s="19"/>
      <c r="G7" s="11"/>
      <c r="H7" s="26"/>
      <c r="I7" s="263"/>
    </row>
    <row r="8" spans="1:9" s="28" customFormat="1" ht="15" customHeight="1">
      <c r="A8" s="345" t="s">
        <v>589</v>
      </c>
      <c r="B8" s="345"/>
      <c r="C8" s="345"/>
      <c r="D8" s="345"/>
      <c r="E8" s="345"/>
      <c r="F8" s="345"/>
      <c r="G8" s="345"/>
      <c r="H8" s="27"/>
      <c r="I8" s="264"/>
    </row>
    <row r="9" spans="1:9" s="28" customFormat="1" ht="15" customHeight="1">
      <c r="A9" s="345"/>
      <c r="B9" s="345"/>
      <c r="C9" s="345"/>
      <c r="D9" s="345"/>
      <c r="E9" s="345"/>
      <c r="F9" s="345"/>
      <c r="G9" s="345"/>
      <c r="H9" s="27"/>
      <c r="I9" s="264"/>
    </row>
    <row r="10" spans="1:9" s="28" customFormat="1" ht="10.5" customHeight="1">
      <c r="A10" s="8"/>
      <c r="B10" s="8"/>
      <c r="C10" s="346" t="s">
        <v>597</v>
      </c>
      <c r="D10" s="346"/>
      <c r="E10" s="346"/>
      <c r="F10" s="346"/>
      <c r="G10" s="346"/>
      <c r="H10" s="27"/>
      <c r="I10" s="264"/>
    </row>
    <row r="11" spans="1:9" s="13" customFormat="1" ht="15" customHeight="1">
      <c r="A11" s="29" t="s">
        <v>0</v>
      </c>
      <c r="B11" s="29" t="s">
        <v>1</v>
      </c>
      <c r="C11" s="30" t="s">
        <v>2</v>
      </c>
      <c r="D11" s="29" t="s">
        <v>3</v>
      </c>
      <c r="E11" s="31" t="s">
        <v>4</v>
      </c>
      <c r="F11" s="32" t="s">
        <v>5</v>
      </c>
      <c r="G11" s="33" t="s">
        <v>6</v>
      </c>
      <c r="H11" s="34" t="s">
        <v>7</v>
      </c>
      <c r="I11" s="220"/>
    </row>
    <row r="12" spans="1:9" s="41" customFormat="1" ht="14.25" customHeight="1" thickBot="1">
      <c r="A12" s="35" t="s">
        <v>8</v>
      </c>
      <c r="B12" s="36"/>
      <c r="C12" s="37" t="s">
        <v>73</v>
      </c>
      <c r="D12" s="38"/>
      <c r="E12" s="38"/>
      <c r="F12" s="38"/>
      <c r="G12" s="39">
        <f>SUM(G13:G44)</f>
        <v>126620.74999999999</v>
      </c>
      <c r="H12" s="40"/>
      <c r="I12" s="265"/>
    </row>
    <row r="13" spans="1:9" s="45" customFormat="1" ht="72">
      <c r="A13" s="278" t="s">
        <v>9</v>
      </c>
      <c r="B13" s="299" t="s">
        <v>10</v>
      </c>
      <c r="C13" s="300" t="s">
        <v>11</v>
      </c>
      <c r="D13" s="301" t="s">
        <v>12</v>
      </c>
      <c r="E13" s="200">
        <f>(3.6*2.2)+(1.2*2.1)+(0.8*1)+(3*0.9*2)+(0.8*2.1*2)</f>
        <v>20</v>
      </c>
      <c r="F13" s="309">
        <v>15.65</v>
      </c>
      <c r="G13" s="260">
        <f>ROUND(E13*F13,2)</f>
        <v>313</v>
      </c>
      <c r="H13" s="199" t="s">
        <v>421</v>
      </c>
      <c r="I13" s="218"/>
    </row>
    <row r="14" spans="1:9" s="219" customFormat="1" ht="72" customHeight="1">
      <c r="A14" s="278" t="s">
        <v>13</v>
      </c>
      <c r="B14" s="295" t="s">
        <v>14</v>
      </c>
      <c r="C14" s="296" t="s">
        <v>15</v>
      </c>
      <c r="D14" s="297" t="s">
        <v>12</v>
      </c>
      <c r="E14" s="200">
        <f>2*3</f>
        <v>6</v>
      </c>
      <c r="F14" s="309">
        <v>504.49</v>
      </c>
      <c r="G14" s="260">
        <f>ROUND(E14*F14,2)</f>
        <v>3026.94</v>
      </c>
      <c r="H14" s="199" t="s">
        <v>119</v>
      </c>
      <c r="I14" s="218"/>
    </row>
    <row r="15" spans="1:9" s="207" customFormat="1" ht="144">
      <c r="A15" s="278" t="s">
        <v>16</v>
      </c>
      <c r="B15" s="310" t="s">
        <v>106</v>
      </c>
      <c r="C15" s="311" t="s">
        <v>107</v>
      </c>
      <c r="D15" s="312" t="s">
        <v>12</v>
      </c>
      <c r="E15" s="200">
        <f>75*2.2</f>
        <v>165</v>
      </c>
      <c r="F15" s="309">
        <v>26.39</v>
      </c>
      <c r="G15" s="260">
        <f>ROUND(E15*F15,2)</f>
        <v>4354.35</v>
      </c>
      <c r="H15" s="313" t="s">
        <v>560</v>
      </c>
      <c r="I15" s="206"/>
    </row>
    <row r="16" spans="1:9" s="47" customFormat="1" ht="228">
      <c r="A16" s="278" t="s">
        <v>80</v>
      </c>
      <c r="B16" s="195" t="s">
        <v>108</v>
      </c>
      <c r="C16" s="196" t="s">
        <v>109</v>
      </c>
      <c r="D16" s="197" t="s">
        <v>110</v>
      </c>
      <c r="E16" s="200">
        <v>8</v>
      </c>
      <c r="F16" s="309">
        <v>700</v>
      </c>
      <c r="G16" s="260">
        <f>ROUND(E16*F16,2)</f>
        <v>5600</v>
      </c>
      <c r="H16" s="313" t="s">
        <v>593</v>
      </c>
      <c r="I16" s="206"/>
    </row>
    <row r="17" spans="1:9" s="47" customFormat="1" ht="47.25" customHeight="1">
      <c r="A17" s="278" t="s">
        <v>382</v>
      </c>
      <c r="B17" s="195" t="s">
        <v>111</v>
      </c>
      <c r="C17" s="196" t="s">
        <v>112</v>
      </c>
      <c r="D17" s="197" t="s">
        <v>21</v>
      </c>
      <c r="E17" s="200">
        <v>1</v>
      </c>
      <c r="F17" s="309">
        <v>75.56</v>
      </c>
      <c r="G17" s="260">
        <f>ROUND(E17*F17,2)</f>
        <v>75.56</v>
      </c>
      <c r="H17" s="313" t="s">
        <v>120</v>
      </c>
      <c r="I17" s="206"/>
    </row>
    <row r="18" spans="1:9" s="47" customFormat="1" ht="72">
      <c r="A18" s="278" t="s">
        <v>383</v>
      </c>
      <c r="B18" s="195" t="s">
        <v>113</v>
      </c>
      <c r="C18" s="196" t="s">
        <v>114</v>
      </c>
      <c r="D18" s="197" t="s">
        <v>115</v>
      </c>
      <c r="E18" s="200">
        <v>100</v>
      </c>
      <c r="F18" s="309">
        <v>32.65</v>
      </c>
      <c r="G18" s="260">
        <f aca="true" t="shared" si="0" ref="G18:G34">ROUND(E18*F18,2)</f>
        <v>3265</v>
      </c>
      <c r="H18" s="313" t="s">
        <v>121</v>
      </c>
      <c r="I18" s="206"/>
    </row>
    <row r="19" spans="1:9" s="47" customFormat="1" ht="48" customHeight="1">
      <c r="A19" s="278" t="s">
        <v>384</v>
      </c>
      <c r="B19" s="195" t="s">
        <v>116</v>
      </c>
      <c r="C19" s="196" t="s">
        <v>117</v>
      </c>
      <c r="D19" s="197" t="s">
        <v>118</v>
      </c>
      <c r="E19" s="302">
        <v>8</v>
      </c>
      <c r="F19" s="309">
        <v>6149.44</v>
      </c>
      <c r="G19" s="260">
        <f t="shared" si="0"/>
        <v>49195.52</v>
      </c>
      <c r="H19" s="315" t="s">
        <v>592</v>
      </c>
      <c r="I19" s="206"/>
    </row>
    <row r="20" spans="1:9" s="215" customFormat="1" ht="60">
      <c r="A20" s="278" t="s">
        <v>385</v>
      </c>
      <c r="B20" s="195" t="s">
        <v>175</v>
      </c>
      <c r="C20" s="196" t="s">
        <v>174</v>
      </c>
      <c r="D20" s="197" t="s">
        <v>46</v>
      </c>
      <c r="E20" s="314">
        <f>(0.15*2.2*1.75)+(0.6+1.25)*(1*0.1)</f>
        <v>0.7625000000000001</v>
      </c>
      <c r="F20" s="309">
        <v>80.18</v>
      </c>
      <c r="G20" s="260">
        <v>60.94</v>
      </c>
      <c r="H20" s="205" t="s">
        <v>284</v>
      </c>
      <c r="I20" s="220"/>
    </row>
    <row r="21" spans="1:9" ht="108">
      <c r="A21" s="278" t="s">
        <v>452</v>
      </c>
      <c r="B21" s="195" t="s">
        <v>222</v>
      </c>
      <c r="C21" s="196" t="s">
        <v>221</v>
      </c>
      <c r="D21" s="197" t="s">
        <v>46</v>
      </c>
      <c r="E21" s="316">
        <f>(0.65*1.25*1*0.06)+(0.65*1.25*1*0.1)</f>
        <v>0.13</v>
      </c>
      <c r="F21" s="309">
        <v>296.06</v>
      </c>
      <c r="G21" s="260">
        <f t="shared" si="0"/>
        <v>38.49</v>
      </c>
      <c r="H21" s="205" t="s">
        <v>223</v>
      </c>
      <c r="I21" s="220"/>
    </row>
    <row r="22" spans="1:9" ht="132">
      <c r="A22" s="278" t="s">
        <v>453</v>
      </c>
      <c r="B22" s="195" t="s">
        <v>275</v>
      </c>
      <c r="C22" s="196" t="s">
        <v>274</v>
      </c>
      <c r="D22" s="197" t="s">
        <v>46</v>
      </c>
      <c r="E22" s="316">
        <f>16*0.37</f>
        <v>5.92</v>
      </c>
      <c r="F22" s="309">
        <v>70.45</v>
      </c>
      <c r="G22" s="260">
        <f t="shared" si="0"/>
        <v>417.06</v>
      </c>
      <c r="H22" s="205" t="s">
        <v>276</v>
      </c>
      <c r="I22" s="220"/>
    </row>
    <row r="23" spans="1:9" ht="60">
      <c r="A23" s="278" t="s">
        <v>454</v>
      </c>
      <c r="B23" s="195" t="s">
        <v>278</v>
      </c>
      <c r="C23" s="196" t="s">
        <v>277</v>
      </c>
      <c r="D23" s="197" t="s">
        <v>46</v>
      </c>
      <c r="E23" s="316">
        <f>16*0.37</f>
        <v>5.92</v>
      </c>
      <c r="F23" s="309">
        <v>29</v>
      </c>
      <c r="G23" s="260">
        <f t="shared" si="0"/>
        <v>171.68</v>
      </c>
      <c r="H23" s="205" t="s">
        <v>276</v>
      </c>
      <c r="I23" s="220"/>
    </row>
    <row r="24" spans="1:9" ht="84">
      <c r="A24" s="278" t="s">
        <v>455</v>
      </c>
      <c r="B24" s="195" t="s">
        <v>280</v>
      </c>
      <c r="C24" s="196" t="s">
        <v>279</v>
      </c>
      <c r="D24" s="197" t="s">
        <v>12</v>
      </c>
      <c r="E24" s="314">
        <v>16</v>
      </c>
      <c r="F24" s="309">
        <v>4.69</v>
      </c>
      <c r="G24" s="260">
        <f t="shared" si="0"/>
        <v>75.04</v>
      </c>
      <c r="H24" s="205" t="s">
        <v>568</v>
      </c>
      <c r="I24" s="220"/>
    </row>
    <row r="25" spans="1:9" ht="36">
      <c r="A25" s="278" t="s">
        <v>456</v>
      </c>
      <c r="B25" s="195" t="s">
        <v>290</v>
      </c>
      <c r="C25" s="196" t="s">
        <v>289</v>
      </c>
      <c r="D25" s="197" t="s">
        <v>12</v>
      </c>
      <c r="E25" s="316">
        <v>52.04</v>
      </c>
      <c r="F25" s="309">
        <v>5.87</v>
      </c>
      <c r="G25" s="260">
        <f t="shared" si="0"/>
        <v>305.47</v>
      </c>
      <c r="H25" s="205" t="s">
        <v>291</v>
      </c>
      <c r="I25" s="220"/>
    </row>
    <row r="26" spans="1:9" ht="24">
      <c r="A26" s="278" t="s">
        <v>457</v>
      </c>
      <c r="B26" s="195" t="s">
        <v>316</v>
      </c>
      <c r="C26" s="196" t="s">
        <v>315</v>
      </c>
      <c r="D26" s="197" t="s">
        <v>219</v>
      </c>
      <c r="E26" s="314">
        <v>225</v>
      </c>
      <c r="F26" s="309">
        <v>3.13</v>
      </c>
      <c r="G26" s="260">
        <f t="shared" si="0"/>
        <v>704.25</v>
      </c>
      <c r="H26" s="205" t="s">
        <v>317</v>
      </c>
      <c r="I26" s="220"/>
    </row>
    <row r="27" spans="1:9" ht="72">
      <c r="A27" s="278" t="s">
        <v>458</v>
      </c>
      <c r="B27" s="195" t="s">
        <v>323</v>
      </c>
      <c r="C27" s="196" t="s">
        <v>322</v>
      </c>
      <c r="D27" s="197" t="s">
        <v>12</v>
      </c>
      <c r="E27" s="314">
        <v>140</v>
      </c>
      <c r="F27" s="309">
        <v>16.41</v>
      </c>
      <c r="G27" s="260">
        <f t="shared" si="0"/>
        <v>2297.4</v>
      </c>
      <c r="H27" s="205" t="s">
        <v>428</v>
      </c>
      <c r="I27" s="220"/>
    </row>
    <row r="28" spans="1:9" ht="192">
      <c r="A28" s="278" t="s">
        <v>459</v>
      </c>
      <c r="B28" s="317" t="s">
        <v>330</v>
      </c>
      <c r="C28" s="318" t="s">
        <v>331</v>
      </c>
      <c r="D28" s="319" t="s">
        <v>332</v>
      </c>
      <c r="E28" s="319">
        <f>18.8*4.2</f>
        <v>78.96000000000001</v>
      </c>
      <c r="F28" s="309">
        <v>10</v>
      </c>
      <c r="G28" s="260">
        <f t="shared" si="0"/>
        <v>789.6</v>
      </c>
      <c r="H28" s="205" t="s">
        <v>429</v>
      </c>
      <c r="I28" s="220"/>
    </row>
    <row r="29" spans="1:9" ht="108">
      <c r="A29" s="278" t="s">
        <v>460</v>
      </c>
      <c r="B29" s="295" t="s">
        <v>333</v>
      </c>
      <c r="C29" s="311" t="s">
        <v>334</v>
      </c>
      <c r="D29" s="297" t="s">
        <v>12</v>
      </c>
      <c r="E29" s="320">
        <f>18.8*1</f>
        <v>18.8</v>
      </c>
      <c r="F29" s="309">
        <v>2.15</v>
      </c>
      <c r="G29" s="260">
        <f t="shared" si="0"/>
        <v>40.42</v>
      </c>
      <c r="H29" s="205" t="s">
        <v>430</v>
      </c>
      <c r="I29" s="220"/>
    </row>
    <row r="30" spans="1:9" ht="72">
      <c r="A30" s="278" t="s">
        <v>461</v>
      </c>
      <c r="B30" s="295" t="s">
        <v>335</v>
      </c>
      <c r="C30" s="311" t="s">
        <v>336</v>
      </c>
      <c r="D30" s="297" t="s">
        <v>12</v>
      </c>
      <c r="E30" s="321">
        <f>(18.8+8.8+10.22)*4.2</f>
        <v>158.844</v>
      </c>
      <c r="F30" s="309">
        <v>6.26</v>
      </c>
      <c r="G30" s="260">
        <f t="shared" si="0"/>
        <v>994.36</v>
      </c>
      <c r="H30" s="205" t="s">
        <v>431</v>
      </c>
      <c r="I30" s="220"/>
    </row>
    <row r="31" spans="1:9" s="215" customFormat="1" ht="96">
      <c r="A31" s="278" t="s">
        <v>462</v>
      </c>
      <c r="B31" s="295" t="s">
        <v>337</v>
      </c>
      <c r="C31" s="311" t="s">
        <v>338</v>
      </c>
      <c r="D31" s="297" t="s">
        <v>339</v>
      </c>
      <c r="E31" s="320">
        <f>18.8*4.2*100</f>
        <v>7896.000000000001</v>
      </c>
      <c r="F31" s="309">
        <v>0.18</v>
      </c>
      <c r="G31" s="260">
        <f t="shared" si="0"/>
        <v>1421.28</v>
      </c>
      <c r="H31" s="205" t="s">
        <v>432</v>
      </c>
      <c r="I31" s="220"/>
    </row>
    <row r="32" spans="1:9" ht="84">
      <c r="A32" s="278" t="s">
        <v>463</v>
      </c>
      <c r="B32" s="295" t="s">
        <v>340</v>
      </c>
      <c r="C32" s="311" t="s">
        <v>341</v>
      </c>
      <c r="D32" s="297" t="s">
        <v>12</v>
      </c>
      <c r="E32" s="321">
        <f>18.8*4.2</f>
        <v>78.96000000000001</v>
      </c>
      <c r="F32" s="309">
        <v>0.8</v>
      </c>
      <c r="G32" s="260">
        <f t="shared" si="0"/>
        <v>63.17</v>
      </c>
      <c r="H32" s="205" t="s">
        <v>433</v>
      </c>
      <c r="I32" s="220"/>
    </row>
    <row r="33" spans="1:9" ht="48">
      <c r="A33" s="278" t="s">
        <v>464</v>
      </c>
      <c r="B33" s="195" t="s">
        <v>427</v>
      </c>
      <c r="C33" s="196" t="s">
        <v>426</v>
      </c>
      <c r="D33" s="197" t="s">
        <v>12</v>
      </c>
      <c r="E33" s="320">
        <f>18.8*1*3</f>
        <v>56.400000000000006</v>
      </c>
      <c r="F33" s="309">
        <v>0.51</v>
      </c>
      <c r="G33" s="260">
        <f t="shared" si="0"/>
        <v>28.76</v>
      </c>
      <c r="H33" s="205" t="s">
        <v>559</v>
      </c>
      <c r="I33" s="220"/>
    </row>
    <row r="34" spans="1:9" ht="156">
      <c r="A34" s="278" t="s">
        <v>465</v>
      </c>
      <c r="B34" s="195" t="s">
        <v>350</v>
      </c>
      <c r="C34" s="196" t="s">
        <v>348</v>
      </c>
      <c r="D34" s="197" t="s">
        <v>349</v>
      </c>
      <c r="E34" s="320">
        <f>E35*15</f>
        <v>1044.3615180000002</v>
      </c>
      <c r="F34" s="309">
        <v>1.42</v>
      </c>
      <c r="G34" s="260">
        <f t="shared" si="0"/>
        <v>1482.99</v>
      </c>
      <c r="H34" s="205" t="s">
        <v>425</v>
      </c>
      <c r="I34" s="220"/>
    </row>
    <row r="35" spans="1:9" ht="228">
      <c r="A35" s="278" t="s">
        <v>466</v>
      </c>
      <c r="B35" s="195" t="s">
        <v>424</v>
      </c>
      <c r="C35" s="196" t="s">
        <v>422</v>
      </c>
      <c r="D35" s="277" t="s">
        <v>423</v>
      </c>
      <c r="E35" s="320">
        <f>((0.15*2.2*1.75)+(0.6+1.25)*(1*0.1))*1.3*1.8+((0.65*1.25*1*0.06)+(0.65*1.25*1*0.1))*1.3*2.5+((140*0.0025)+(0.005*55)+(225*0.0015))*1.5+((52.04*0.8))*0.6+((16.04*0.008))*1.5+((4*8.569)+(6*8.6)+8.6)*0.1*0.02*0.6+((2.47+3.54+2.35+2.56)*1+(2.35+2.56+3.5455)*1)*2.1</f>
        <v>69.62410120000001</v>
      </c>
      <c r="F35" s="309">
        <v>1.27</v>
      </c>
      <c r="G35" s="260">
        <v>88.42</v>
      </c>
      <c r="H35" s="205" t="s">
        <v>569</v>
      </c>
      <c r="I35" s="220"/>
    </row>
    <row r="36" spans="1:9" ht="72">
      <c r="A36" s="278" t="s">
        <v>467</v>
      </c>
      <c r="B36" s="195" t="s">
        <v>134</v>
      </c>
      <c r="C36" s="196" t="s">
        <v>133</v>
      </c>
      <c r="D36" s="197" t="s">
        <v>12</v>
      </c>
      <c r="E36" s="200">
        <f>(2.47+3.54+2.35+2.56)*1+(2.35+2.56+3.54+4.551)*1</f>
        <v>23.921</v>
      </c>
      <c r="F36" s="309">
        <v>18.78</v>
      </c>
      <c r="G36" s="272">
        <f>ROUND(E36*F36,2)</f>
        <v>449.24</v>
      </c>
      <c r="H36" s="205" t="s">
        <v>570</v>
      </c>
      <c r="I36" s="220"/>
    </row>
    <row r="37" spans="1:9" s="215" customFormat="1" ht="60">
      <c r="A37" s="278" t="s">
        <v>468</v>
      </c>
      <c r="B37" s="195" t="s">
        <v>583</v>
      </c>
      <c r="C37" s="196" t="s">
        <v>582</v>
      </c>
      <c r="D37" s="197" t="s">
        <v>118</v>
      </c>
      <c r="E37" s="200">
        <v>0.25</v>
      </c>
      <c r="F37" s="309">
        <v>3977.6</v>
      </c>
      <c r="G37" s="272">
        <f>ROUND(E37*F37,2)</f>
        <v>994.4</v>
      </c>
      <c r="H37" s="205" t="s">
        <v>584</v>
      </c>
      <c r="I37" s="220"/>
    </row>
    <row r="38" spans="1:9" ht="48">
      <c r="A38" s="278" t="s">
        <v>469</v>
      </c>
      <c r="B38" s="195" t="s">
        <v>398</v>
      </c>
      <c r="C38" s="196" t="s">
        <v>397</v>
      </c>
      <c r="D38" s="197" t="s">
        <v>219</v>
      </c>
      <c r="E38" s="200">
        <f>(4*8.6)+(6*8.6)+6.1</f>
        <v>92.1</v>
      </c>
      <c r="F38" s="309">
        <v>1.95</v>
      </c>
      <c r="G38" s="272">
        <f>ROUND(E38*F38,2)</f>
        <v>179.6</v>
      </c>
      <c r="H38" s="205" t="s">
        <v>434</v>
      </c>
      <c r="I38" s="220"/>
    </row>
    <row r="39" spans="1:9" ht="60">
      <c r="A39" s="278" t="s">
        <v>470</v>
      </c>
      <c r="B39" s="195" t="s">
        <v>220</v>
      </c>
      <c r="C39" s="196" t="s">
        <v>218</v>
      </c>
      <c r="D39" s="197" t="s">
        <v>219</v>
      </c>
      <c r="E39" s="200">
        <f>1.2+1.75+0.7+6.1+3.45+5.47+1.6+1</f>
        <v>21.27</v>
      </c>
      <c r="F39" s="271">
        <v>37.28</v>
      </c>
      <c r="G39" s="272">
        <f>ROUND(E39*F39,2)</f>
        <v>792.95</v>
      </c>
      <c r="H39" s="205" t="s">
        <v>435</v>
      </c>
      <c r="I39" s="220"/>
    </row>
    <row r="40" spans="1:9" ht="96">
      <c r="A40" s="278" t="s">
        <v>471</v>
      </c>
      <c r="B40" s="252" t="s">
        <v>446</v>
      </c>
      <c r="C40" s="253" t="s">
        <v>447</v>
      </c>
      <c r="D40" s="254" t="s">
        <v>46</v>
      </c>
      <c r="E40" s="200">
        <f>(0.8*0.8*0.8*4)+(0.8*0.8*0.8*2)</f>
        <v>3.072000000000001</v>
      </c>
      <c r="F40" s="271">
        <v>53.23</v>
      </c>
      <c r="G40" s="272">
        <v>163.42</v>
      </c>
      <c r="H40" s="205" t="s">
        <v>451</v>
      </c>
      <c r="I40" s="220"/>
    </row>
    <row r="41" spans="1:9" ht="72">
      <c r="A41" s="278" t="s">
        <v>472</v>
      </c>
      <c r="B41" s="252" t="s">
        <v>448</v>
      </c>
      <c r="C41" s="253" t="s">
        <v>449</v>
      </c>
      <c r="D41" s="254" t="s">
        <v>46</v>
      </c>
      <c r="E41" s="200">
        <f>E40*0.8</f>
        <v>2.457600000000001</v>
      </c>
      <c r="F41" s="271">
        <v>32.87</v>
      </c>
      <c r="G41" s="272">
        <v>80.86</v>
      </c>
      <c r="H41" s="205" t="s">
        <v>450</v>
      </c>
      <c r="I41" s="220"/>
    </row>
    <row r="42" spans="1:9" ht="36">
      <c r="A42" s="278" t="s">
        <v>594</v>
      </c>
      <c r="B42" s="195" t="s">
        <v>596</v>
      </c>
      <c r="C42" s="196" t="s">
        <v>595</v>
      </c>
      <c r="D42" s="197" t="s">
        <v>118</v>
      </c>
      <c r="E42" s="200">
        <v>8</v>
      </c>
      <c r="F42" s="271">
        <v>2817.76</v>
      </c>
      <c r="G42" s="272">
        <f>ROUND(E42*F42,2)</f>
        <v>22542.08</v>
      </c>
      <c r="H42" s="205" t="s">
        <v>592</v>
      </c>
      <c r="I42" s="220"/>
    </row>
    <row r="43" spans="1:9" ht="96">
      <c r="A43" s="278" t="s">
        <v>599</v>
      </c>
      <c r="B43" s="291" t="s">
        <v>577</v>
      </c>
      <c r="C43" s="196" t="s">
        <v>598</v>
      </c>
      <c r="D43" s="197" t="s">
        <v>12</v>
      </c>
      <c r="E43" s="343">
        <v>2190</v>
      </c>
      <c r="F43" s="272">
        <v>12.15</v>
      </c>
      <c r="G43" s="272">
        <f>ROUND(E43*F43,2)</f>
        <v>26608.5</v>
      </c>
      <c r="H43" s="205" t="s">
        <v>600</v>
      </c>
      <c r="I43" s="220"/>
    </row>
    <row r="44" spans="1:9" ht="13.5" thickBot="1">
      <c r="A44" s="8"/>
      <c r="B44" s="216"/>
      <c r="C44" s="217"/>
      <c r="D44" s="198"/>
      <c r="E44" s="194"/>
      <c r="F44" s="201"/>
      <c r="G44" s="44"/>
      <c r="H44" s="48"/>
      <c r="I44" s="220"/>
    </row>
    <row r="45" spans="1:9" ht="12.75" customHeight="1" thickBot="1">
      <c r="A45" s="35" t="s">
        <v>17</v>
      </c>
      <c r="B45" s="49"/>
      <c r="C45" s="37" t="s">
        <v>68</v>
      </c>
      <c r="D45" s="50"/>
      <c r="E45" s="50"/>
      <c r="F45" s="214"/>
      <c r="G45" s="39">
        <f>SUM(G46:G66)</f>
        <v>85675.23999999999</v>
      </c>
      <c r="H45" s="51"/>
      <c r="I45" s="220"/>
    </row>
    <row r="46" spans="1:10" ht="84">
      <c r="A46" s="278" t="s">
        <v>18</v>
      </c>
      <c r="B46" s="195" t="s">
        <v>148</v>
      </c>
      <c r="C46" s="196" t="s">
        <v>147</v>
      </c>
      <c r="D46" s="197" t="s">
        <v>12</v>
      </c>
      <c r="E46" s="200">
        <f>(4.65*2.1)-(0.8*2.1)+(5.3*0.9)</f>
        <v>12.855</v>
      </c>
      <c r="F46" s="309">
        <v>515</v>
      </c>
      <c r="G46" s="260">
        <v>6622.33</v>
      </c>
      <c r="H46" s="331" t="s">
        <v>264</v>
      </c>
      <c r="I46" s="220"/>
      <c r="J46" s="215"/>
    </row>
    <row r="47" spans="1:10" ht="108">
      <c r="A47" s="278" t="s">
        <v>79</v>
      </c>
      <c r="B47" s="195" t="s">
        <v>262</v>
      </c>
      <c r="C47" s="196" t="s">
        <v>261</v>
      </c>
      <c r="D47" s="197" t="s">
        <v>21</v>
      </c>
      <c r="E47" s="200">
        <v>1</v>
      </c>
      <c r="F47" s="309">
        <v>156.96</v>
      </c>
      <c r="G47" s="260">
        <f aca="true" t="shared" si="1" ref="G47:G66">ROUND(E47*F47,2)</f>
        <v>156.96</v>
      </c>
      <c r="H47" s="331" t="s">
        <v>263</v>
      </c>
      <c r="I47" s="220"/>
      <c r="J47" s="215"/>
    </row>
    <row r="48" spans="1:10" ht="168">
      <c r="A48" s="278" t="s">
        <v>473</v>
      </c>
      <c r="B48" s="195" t="s">
        <v>199</v>
      </c>
      <c r="C48" s="196" t="s">
        <v>198</v>
      </c>
      <c r="D48" s="197" t="s">
        <v>21</v>
      </c>
      <c r="E48" s="200">
        <v>1</v>
      </c>
      <c r="F48" s="309">
        <v>352.42</v>
      </c>
      <c r="G48" s="260">
        <f t="shared" si="1"/>
        <v>352.42</v>
      </c>
      <c r="H48" s="331" t="s">
        <v>200</v>
      </c>
      <c r="I48" s="220"/>
      <c r="J48" s="215"/>
    </row>
    <row r="49" spans="1:10" ht="144">
      <c r="A49" s="278" t="s">
        <v>81</v>
      </c>
      <c r="B49" s="195" t="s">
        <v>197</v>
      </c>
      <c r="C49" s="196" t="s">
        <v>149</v>
      </c>
      <c r="D49" s="197" t="s">
        <v>21</v>
      </c>
      <c r="E49" s="200">
        <v>1</v>
      </c>
      <c r="F49" s="309">
        <v>511.06</v>
      </c>
      <c r="G49" s="260">
        <f t="shared" si="1"/>
        <v>511.06</v>
      </c>
      <c r="H49" s="197" t="s">
        <v>215</v>
      </c>
      <c r="I49" s="220"/>
      <c r="J49" s="215"/>
    </row>
    <row r="50" spans="1:10" ht="48">
      <c r="A50" s="278" t="s">
        <v>474</v>
      </c>
      <c r="B50" s="195" t="s">
        <v>151</v>
      </c>
      <c r="C50" s="196" t="s">
        <v>150</v>
      </c>
      <c r="D50" s="197" t="s">
        <v>21</v>
      </c>
      <c r="E50" s="200">
        <v>2</v>
      </c>
      <c r="F50" s="309">
        <v>296.7</v>
      </c>
      <c r="G50" s="260">
        <f t="shared" si="1"/>
        <v>593.4</v>
      </c>
      <c r="H50" s="197" t="s">
        <v>216</v>
      </c>
      <c r="I50" s="220"/>
      <c r="J50" s="215"/>
    </row>
    <row r="51" spans="1:9" ht="96" customHeight="1">
      <c r="A51" s="278" t="s">
        <v>475</v>
      </c>
      <c r="B51" s="299" t="s">
        <v>19</v>
      </c>
      <c r="C51" s="300" t="s">
        <v>20</v>
      </c>
      <c r="D51" s="279" t="s">
        <v>21</v>
      </c>
      <c r="E51" s="200">
        <f>1+1+1+1+4+1</f>
        <v>9</v>
      </c>
      <c r="F51" s="309">
        <v>649.9</v>
      </c>
      <c r="G51" s="260">
        <f t="shared" si="1"/>
        <v>5849.1</v>
      </c>
      <c r="H51" s="331" t="s">
        <v>161</v>
      </c>
      <c r="I51" s="220"/>
    </row>
    <row r="52" spans="1:9" ht="96" customHeight="1">
      <c r="A52" s="278" t="s">
        <v>476</v>
      </c>
      <c r="B52" s="195" t="s">
        <v>145</v>
      </c>
      <c r="C52" s="196" t="s">
        <v>144</v>
      </c>
      <c r="D52" s="197" t="s">
        <v>21</v>
      </c>
      <c r="E52" s="200">
        <v>1</v>
      </c>
      <c r="F52" s="309">
        <v>624.74</v>
      </c>
      <c r="G52" s="260">
        <f t="shared" si="1"/>
        <v>624.74</v>
      </c>
      <c r="H52" s="331" t="s">
        <v>146</v>
      </c>
      <c r="I52" s="220"/>
    </row>
    <row r="53" spans="1:9" s="215" customFormat="1" ht="96" customHeight="1">
      <c r="A53" s="278" t="s">
        <v>477</v>
      </c>
      <c r="B53" s="195" t="s">
        <v>155</v>
      </c>
      <c r="C53" s="196" t="s">
        <v>154</v>
      </c>
      <c r="D53" s="197" t="s">
        <v>12</v>
      </c>
      <c r="E53" s="200">
        <f>(1.8*2.1*2)</f>
        <v>7.5600000000000005</v>
      </c>
      <c r="F53" s="309">
        <v>1101.54</v>
      </c>
      <c r="G53" s="260">
        <f t="shared" si="1"/>
        <v>8327.64</v>
      </c>
      <c r="H53" s="331" t="s">
        <v>156</v>
      </c>
      <c r="I53" s="220"/>
    </row>
    <row r="54" spans="1:9" s="215" customFormat="1" ht="228">
      <c r="A54" s="278" t="s">
        <v>478</v>
      </c>
      <c r="B54" s="195" t="s">
        <v>153</v>
      </c>
      <c r="C54" s="196" t="s">
        <v>152</v>
      </c>
      <c r="D54" s="197" t="s">
        <v>21</v>
      </c>
      <c r="E54" s="200">
        <f>3+1</f>
        <v>4</v>
      </c>
      <c r="F54" s="309">
        <v>686</v>
      </c>
      <c r="G54" s="260">
        <f t="shared" si="1"/>
        <v>2744</v>
      </c>
      <c r="H54" s="331" t="s">
        <v>185</v>
      </c>
      <c r="I54" s="220"/>
    </row>
    <row r="55" spans="1:9" ht="252" customHeight="1">
      <c r="A55" s="278" t="s">
        <v>479</v>
      </c>
      <c r="B55" s="295" t="s">
        <v>22</v>
      </c>
      <c r="C55" s="296" t="s">
        <v>23</v>
      </c>
      <c r="D55" s="298" t="s">
        <v>24</v>
      </c>
      <c r="E55" s="303">
        <f>8</f>
        <v>8</v>
      </c>
      <c r="F55" s="260">
        <v>454.52</v>
      </c>
      <c r="G55" s="260">
        <f t="shared" si="1"/>
        <v>3636.16</v>
      </c>
      <c r="H55" s="331" t="s">
        <v>194</v>
      </c>
      <c r="I55" s="220"/>
    </row>
    <row r="56" spans="1:9" s="47" customFormat="1" ht="72">
      <c r="A56" s="278" t="s">
        <v>480</v>
      </c>
      <c r="B56" s="195" t="s">
        <v>585</v>
      </c>
      <c r="C56" s="196" t="s">
        <v>586</v>
      </c>
      <c r="D56" s="197" t="s">
        <v>12</v>
      </c>
      <c r="E56" s="200">
        <f>(4.65*2.1)+(1.4*2.4*2)+(3*0.9)+(0.8*2.1)+(4.5*1.4)+(0.9*2.1)</f>
        <v>29.055</v>
      </c>
      <c r="F56" s="260">
        <v>556.22</v>
      </c>
      <c r="G56" s="260">
        <v>16163.75</v>
      </c>
      <c r="H56" s="257" t="s">
        <v>311</v>
      </c>
      <c r="I56" s="206"/>
    </row>
    <row r="57" spans="1:9" s="47" customFormat="1" ht="84">
      <c r="A57" s="278" t="s">
        <v>481</v>
      </c>
      <c r="B57" s="195" t="s">
        <v>171</v>
      </c>
      <c r="C57" s="196" t="s">
        <v>170</v>
      </c>
      <c r="D57" s="197" t="s">
        <v>12</v>
      </c>
      <c r="E57" s="200">
        <f>(3*0.9)*2+(1.2*0.25)</f>
        <v>5.7</v>
      </c>
      <c r="F57" s="260">
        <v>472.18</v>
      </c>
      <c r="G57" s="260">
        <f t="shared" si="1"/>
        <v>2691.43</v>
      </c>
      <c r="H57" s="257" t="s">
        <v>172</v>
      </c>
      <c r="I57" s="206"/>
    </row>
    <row r="58" spans="1:9" s="47" customFormat="1" ht="96">
      <c r="A58" s="278" t="s">
        <v>482</v>
      </c>
      <c r="B58" s="195" t="s">
        <v>159</v>
      </c>
      <c r="C58" s="196" t="s">
        <v>158</v>
      </c>
      <c r="D58" s="197" t="s">
        <v>21</v>
      </c>
      <c r="E58" s="200">
        <v>1</v>
      </c>
      <c r="F58" s="272">
        <v>974.92</v>
      </c>
      <c r="G58" s="260">
        <f t="shared" si="1"/>
        <v>974.92</v>
      </c>
      <c r="H58" s="257" t="s">
        <v>160</v>
      </c>
      <c r="I58" s="206"/>
    </row>
    <row r="59" spans="1:9" s="47" customFormat="1" ht="96">
      <c r="A59" s="278" t="s">
        <v>483</v>
      </c>
      <c r="B59" s="195" t="s">
        <v>163</v>
      </c>
      <c r="C59" s="196" t="s">
        <v>162</v>
      </c>
      <c r="D59" s="197" t="s">
        <v>12</v>
      </c>
      <c r="E59" s="200">
        <f>1.7*1.85</f>
        <v>3.145</v>
      </c>
      <c r="F59" s="272">
        <v>935.6</v>
      </c>
      <c r="G59" s="260">
        <v>2947.14</v>
      </c>
      <c r="H59" s="257" t="s">
        <v>303</v>
      </c>
      <c r="I59" s="206"/>
    </row>
    <row r="60" spans="1:9" s="47" customFormat="1" ht="60">
      <c r="A60" s="278" t="s">
        <v>484</v>
      </c>
      <c r="B60" s="195" t="s">
        <v>177</v>
      </c>
      <c r="C60" s="196" t="s">
        <v>176</v>
      </c>
      <c r="D60" s="197" t="s">
        <v>12</v>
      </c>
      <c r="E60" s="200">
        <f>E57</f>
        <v>5.7</v>
      </c>
      <c r="F60" s="272">
        <v>143.93</v>
      </c>
      <c r="G60" s="260">
        <f t="shared" si="1"/>
        <v>820.4</v>
      </c>
      <c r="H60" s="257" t="s">
        <v>178</v>
      </c>
      <c r="I60" s="206"/>
    </row>
    <row r="61" spans="1:9" s="47" customFormat="1" ht="156">
      <c r="A61" s="278" t="s">
        <v>485</v>
      </c>
      <c r="B61" s="195" t="s">
        <v>183</v>
      </c>
      <c r="C61" s="196" t="s">
        <v>182</v>
      </c>
      <c r="D61" s="197" t="s">
        <v>21</v>
      </c>
      <c r="E61" s="200">
        <f>6</f>
        <v>6</v>
      </c>
      <c r="F61" s="272">
        <v>203.72</v>
      </c>
      <c r="G61" s="260">
        <f t="shared" si="1"/>
        <v>1222.32</v>
      </c>
      <c r="H61" s="257" t="s">
        <v>184</v>
      </c>
      <c r="I61" s="206"/>
    </row>
    <row r="62" spans="1:9" s="47" customFormat="1" ht="84">
      <c r="A62" s="278" t="s">
        <v>486</v>
      </c>
      <c r="B62" s="195" t="s">
        <v>189</v>
      </c>
      <c r="C62" s="196" t="s">
        <v>188</v>
      </c>
      <c r="D62" s="197" t="s">
        <v>12</v>
      </c>
      <c r="E62" s="200">
        <f>(0.8*2)*1.8+(0.8*1*1.8)+(0.8*1.8*2)</f>
        <v>7.200000000000001</v>
      </c>
      <c r="F62" s="272">
        <v>1297.95</v>
      </c>
      <c r="G62" s="260">
        <f t="shared" si="1"/>
        <v>9345.24</v>
      </c>
      <c r="H62" s="257" t="s">
        <v>190</v>
      </c>
      <c r="I62" s="206"/>
    </row>
    <row r="63" spans="1:9" s="47" customFormat="1" ht="252">
      <c r="A63" s="278" t="s">
        <v>487</v>
      </c>
      <c r="B63" s="195" t="s">
        <v>192</v>
      </c>
      <c r="C63" s="196" t="s">
        <v>191</v>
      </c>
      <c r="D63" s="197" t="s">
        <v>21</v>
      </c>
      <c r="E63" s="200">
        <v>5</v>
      </c>
      <c r="F63" s="272">
        <v>115</v>
      </c>
      <c r="G63" s="260">
        <f t="shared" si="1"/>
        <v>575</v>
      </c>
      <c r="H63" s="257" t="s">
        <v>193</v>
      </c>
      <c r="I63" s="206"/>
    </row>
    <row r="64" spans="1:9" s="47" customFormat="1" ht="192">
      <c r="A64" s="278" t="s">
        <v>488</v>
      </c>
      <c r="B64" s="195" t="s">
        <v>196</v>
      </c>
      <c r="C64" s="196" t="s">
        <v>195</v>
      </c>
      <c r="D64" s="197" t="s">
        <v>21</v>
      </c>
      <c r="E64" s="200">
        <f>2</f>
        <v>2</v>
      </c>
      <c r="F64" s="272">
        <v>686.64</v>
      </c>
      <c r="G64" s="260">
        <f t="shared" si="1"/>
        <v>1373.28</v>
      </c>
      <c r="H64" s="257" t="s">
        <v>571</v>
      </c>
      <c r="I64" s="206"/>
    </row>
    <row r="65" spans="1:9" s="47" customFormat="1" ht="216">
      <c r="A65" s="278" t="s">
        <v>489</v>
      </c>
      <c r="B65" s="195" t="s">
        <v>286</v>
      </c>
      <c r="C65" s="196" t="s">
        <v>285</v>
      </c>
      <c r="D65" s="197" t="s">
        <v>12</v>
      </c>
      <c r="E65" s="200">
        <f>0.8*1</f>
        <v>0.8</v>
      </c>
      <c r="F65" s="272">
        <v>1489.13</v>
      </c>
      <c r="G65" s="260">
        <f t="shared" si="1"/>
        <v>1191.3</v>
      </c>
      <c r="H65" s="257" t="s">
        <v>287</v>
      </c>
      <c r="I65" s="206"/>
    </row>
    <row r="66" spans="1:9" s="47" customFormat="1" ht="96">
      <c r="A66" s="278" t="s">
        <v>490</v>
      </c>
      <c r="B66" s="195" t="s">
        <v>410</v>
      </c>
      <c r="C66" s="196" t="s">
        <v>409</v>
      </c>
      <c r="D66" s="197" t="s">
        <v>12</v>
      </c>
      <c r="E66" s="200">
        <f>(3.45+5.47)*1+(3.6*1)</f>
        <v>12.52</v>
      </c>
      <c r="F66" s="272">
        <v>1513.79</v>
      </c>
      <c r="G66" s="260">
        <f t="shared" si="1"/>
        <v>18952.65</v>
      </c>
      <c r="H66" s="257" t="s">
        <v>414</v>
      </c>
      <c r="I66" s="206"/>
    </row>
    <row r="67" spans="1:9" s="47" customFormat="1" ht="13.5" thickBot="1">
      <c r="A67" s="42"/>
      <c r="B67" s="216"/>
      <c r="C67" s="217"/>
      <c r="D67" s="198"/>
      <c r="E67" s="221"/>
      <c r="F67" s="4"/>
      <c r="G67" s="5"/>
      <c r="H67" s="53"/>
      <c r="I67" s="206"/>
    </row>
    <row r="68" spans="1:9" s="47" customFormat="1" ht="13.5" customHeight="1" thickBot="1">
      <c r="A68" s="35" t="s">
        <v>25</v>
      </c>
      <c r="B68" s="36"/>
      <c r="C68" s="37" t="s">
        <v>491</v>
      </c>
      <c r="D68" s="38"/>
      <c r="E68" s="38"/>
      <c r="F68" s="214"/>
      <c r="G68" s="39">
        <f>SUM(G69:G84)</f>
        <v>73358.73</v>
      </c>
      <c r="H68" s="12"/>
      <c r="I68" s="206"/>
    </row>
    <row r="69" spans="1:9" s="47" customFormat="1" ht="144">
      <c r="A69" s="278" t="s">
        <v>82</v>
      </c>
      <c r="B69" s="195" t="s">
        <v>123</v>
      </c>
      <c r="C69" s="196" t="s">
        <v>122</v>
      </c>
      <c r="D69" s="197" t="s">
        <v>12</v>
      </c>
      <c r="E69" s="200">
        <f>(2.47+3.54+2.35+2.56)*2.6+(2.35+2.56+3.54+4.55)*2.6+(2.3+2.3+1.4+1.4)*2.6+(4*2)+(4.5*2)+(5.5*2)+(5*2)+(1.6+1.6+1.1+1.1)*2.6+(6.1*2)+(8.6*10)*2+(2.36+2.36+1.74+1.74)*2.2</f>
        <v>335.71200000000005</v>
      </c>
      <c r="F69" s="272">
        <v>129.6</v>
      </c>
      <c r="G69" s="272">
        <f>ROUND(E69*F69,2)</f>
        <v>43508.28</v>
      </c>
      <c r="H69" s="205" t="s">
        <v>436</v>
      </c>
      <c r="I69" s="206"/>
    </row>
    <row r="70" spans="1:9" s="47" customFormat="1" ht="120" customHeight="1">
      <c r="A70" s="278" t="s">
        <v>83</v>
      </c>
      <c r="B70" s="195" t="s">
        <v>129</v>
      </c>
      <c r="C70" s="196" t="s">
        <v>124</v>
      </c>
      <c r="D70" s="197" t="s">
        <v>12</v>
      </c>
      <c r="E70" s="200">
        <f>(6.99+6.51)+(8.46*2)+2+1.76</f>
        <v>34.18</v>
      </c>
      <c r="F70" s="272">
        <v>50.2</v>
      </c>
      <c r="G70" s="272">
        <f aca="true" t="shared" si="2" ref="G70:G76">ROUND(E70*F70,2)</f>
        <v>1715.84</v>
      </c>
      <c r="H70" s="205" t="s">
        <v>157</v>
      </c>
      <c r="I70" s="206"/>
    </row>
    <row r="71" spans="1:9" s="47" customFormat="1" ht="120">
      <c r="A71" s="278" t="s">
        <v>492</v>
      </c>
      <c r="B71" s="195" t="s">
        <v>128</v>
      </c>
      <c r="C71" s="196" t="s">
        <v>127</v>
      </c>
      <c r="D71" s="197" t="s">
        <v>12</v>
      </c>
      <c r="E71" s="200">
        <f>(0.71*0.45)+(0.6*1)+(0.6*1.65)+(1.2*0.6)+(1.75*0.6)+(0.4*0.8)+(0.7*0.5)</f>
        <v>4.3495</v>
      </c>
      <c r="F71" s="272">
        <v>506.07</v>
      </c>
      <c r="G71" s="272">
        <v>2201.4</v>
      </c>
      <c r="H71" s="205" t="s">
        <v>217</v>
      </c>
      <c r="I71" s="206"/>
    </row>
    <row r="72" spans="1:9" s="47" customFormat="1" ht="84">
      <c r="A72" s="278" t="s">
        <v>493</v>
      </c>
      <c r="B72" s="195" t="s">
        <v>202</v>
      </c>
      <c r="C72" s="196" t="s">
        <v>201</v>
      </c>
      <c r="D72" s="332" t="s">
        <v>12</v>
      </c>
      <c r="E72" s="200">
        <f>(1.9+4+1.6+2.75)*0.2*5</f>
        <v>10.250000000000002</v>
      </c>
      <c r="F72" s="272">
        <v>461.85</v>
      </c>
      <c r="G72" s="272">
        <f t="shared" si="2"/>
        <v>4733.96</v>
      </c>
      <c r="H72" s="205" t="s">
        <v>224</v>
      </c>
      <c r="I72" s="206"/>
    </row>
    <row r="73" spans="1:9" s="47" customFormat="1" ht="84">
      <c r="A73" s="278" t="s">
        <v>494</v>
      </c>
      <c r="B73" s="195" t="s">
        <v>202</v>
      </c>
      <c r="C73" s="196" t="s">
        <v>201</v>
      </c>
      <c r="D73" s="197" t="s">
        <v>12</v>
      </c>
      <c r="E73" s="200">
        <f>(2*3.1)+(5.3*0.37)</f>
        <v>8.161</v>
      </c>
      <c r="F73" s="271">
        <v>461.85</v>
      </c>
      <c r="G73" s="272">
        <v>3768.7</v>
      </c>
      <c r="H73" s="205" t="s">
        <v>288</v>
      </c>
      <c r="I73" s="206"/>
    </row>
    <row r="74" spans="1:9" s="47" customFormat="1" ht="84">
      <c r="A74" s="278" t="s">
        <v>495</v>
      </c>
      <c r="B74" s="195" t="s">
        <v>271</v>
      </c>
      <c r="C74" s="196" t="s">
        <v>270</v>
      </c>
      <c r="D74" s="197" t="s">
        <v>12</v>
      </c>
      <c r="E74" s="200">
        <f>(0.65*1.25)+(2.7*1.3)</f>
        <v>4.3225</v>
      </c>
      <c r="F74" s="272">
        <v>49.49</v>
      </c>
      <c r="G74" s="272">
        <v>213.8</v>
      </c>
      <c r="H74" s="205" t="s">
        <v>301</v>
      </c>
      <c r="I74" s="206"/>
    </row>
    <row r="75" spans="1:9" s="47" customFormat="1" ht="72">
      <c r="A75" s="278" t="s">
        <v>496</v>
      </c>
      <c r="B75" s="195" t="s">
        <v>273</v>
      </c>
      <c r="C75" s="196" t="s">
        <v>272</v>
      </c>
      <c r="D75" s="197" t="s">
        <v>12</v>
      </c>
      <c r="E75" s="200">
        <f>16.05+(0.65*1.25)+(2.7*1.3)</f>
        <v>20.372500000000002</v>
      </c>
      <c r="F75" s="272">
        <v>33.37</v>
      </c>
      <c r="G75" s="272">
        <v>679.75</v>
      </c>
      <c r="H75" s="205" t="s">
        <v>300</v>
      </c>
      <c r="I75" s="206"/>
    </row>
    <row r="76" spans="1:9" s="47" customFormat="1" ht="204">
      <c r="A76" s="278" t="s">
        <v>497</v>
      </c>
      <c r="B76" s="195" t="s">
        <v>282</v>
      </c>
      <c r="C76" s="196" t="s">
        <v>281</v>
      </c>
      <c r="D76" s="197" t="s">
        <v>12</v>
      </c>
      <c r="E76" s="200">
        <f>16.05+3.22+1.76</f>
        <v>21.03</v>
      </c>
      <c r="F76" s="272">
        <v>79.11</v>
      </c>
      <c r="G76" s="272">
        <f t="shared" si="2"/>
        <v>1663.68</v>
      </c>
      <c r="H76" s="205" t="s">
        <v>312</v>
      </c>
      <c r="I76" s="206"/>
    </row>
    <row r="77" spans="1:9" s="207" customFormat="1" ht="120">
      <c r="A77" s="278" t="s">
        <v>498</v>
      </c>
      <c r="B77" s="280" t="s">
        <v>298</v>
      </c>
      <c r="C77" s="281" t="s">
        <v>299</v>
      </c>
      <c r="D77" s="279" t="s">
        <v>12</v>
      </c>
      <c r="E77" s="200">
        <f>((1.74*2.2)+((0.6+0.6+1.25)*1)+(0.37*6.4)+(1.45+1.45+2)*1.85)*2</f>
        <v>35.422000000000004</v>
      </c>
      <c r="F77" s="272">
        <v>31.9</v>
      </c>
      <c r="G77" s="272">
        <v>1129.9</v>
      </c>
      <c r="H77" s="205" t="s">
        <v>437</v>
      </c>
      <c r="I77" s="206"/>
    </row>
    <row r="78" spans="1:9" s="47" customFormat="1" ht="84">
      <c r="A78" s="278" t="s">
        <v>499</v>
      </c>
      <c r="B78" s="195" t="s">
        <v>346</v>
      </c>
      <c r="C78" s="196" t="s">
        <v>347</v>
      </c>
      <c r="D78" s="197" t="s">
        <v>12</v>
      </c>
      <c r="E78" s="200">
        <f>17.66+(0.65*1.25*1*0.1)+(1.45*2)+0.1*E149</f>
        <v>175.08225000000004</v>
      </c>
      <c r="F78" s="271">
        <v>31.75</v>
      </c>
      <c r="G78" s="272">
        <v>5558.79</v>
      </c>
      <c r="H78" s="337" t="s">
        <v>576</v>
      </c>
      <c r="I78" s="269"/>
    </row>
    <row r="79" spans="1:9" s="47" customFormat="1" ht="144">
      <c r="A79" s="278" t="s">
        <v>500</v>
      </c>
      <c r="B79" s="280" t="s">
        <v>351</v>
      </c>
      <c r="C79" s="281" t="s">
        <v>352</v>
      </c>
      <c r="D79" s="279" t="s">
        <v>12</v>
      </c>
      <c r="E79" s="200">
        <f>(1.74*2.2)+(0.6+0.6+1.25)*1+(0.37*6.4)+(2+2+3+3)*(0.9)+(1.45+1.45+2)*1.85+(3.1*2.65)+(9.7+11.7+12.2)*3</f>
        <v>135.726</v>
      </c>
      <c r="F79" s="271">
        <v>26.92</v>
      </c>
      <c r="G79" s="272">
        <v>3653.85</v>
      </c>
      <c r="H79" s="257" t="s">
        <v>575</v>
      </c>
      <c r="I79" s="269"/>
    </row>
    <row r="80" spans="1:9" s="207" customFormat="1" ht="84">
      <c r="A80" s="278" t="s">
        <v>501</v>
      </c>
      <c r="B80" s="280" t="s">
        <v>353</v>
      </c>
      <c r="C80" s="281" t="s">
        <v>354</v>
      </c>
      <c r="D80" s="336" t="s">
        <v>12</v>
      </c>
      <c r="E80" s="327">
        <f>E79</f>
        <v>135.726</v>
      </c>
      <c r="F80" s="271">
        <v>5.98</v>
      </c>
      <c r="G80" s="272">
        <v>811.66</v>
      </c>
      <c r="H80" s="257" t="s">
        <v>601</v>
      </c>
      <c r="I80" s="269"/>
    </row>
    <row r="81" spans="1:9" s="47" customFormat="1" ht="156">
      <c r="A81" s="278" t="s">
        <v>502</v>
      </c>
      <c r="B81" s="195" t="s">
        <v>355</v>
      </c>
      <c r="C81" s="196" t="s">
        <v>356</v>
      </c>
      <c r="D81" s="197" t="s">
        <v>219</v>
      </c>
      <c r="E81" s="327">
        <f>2.3+2.3+1.4+1.4+2.45+1.55+(1.6+1.6+1.1+1.1)</f>
        <v>16.800000000000004</v>
      </c>
      <c r="F81" s="271">
        <v>23.05</v>
      </c>
      <c r="G81" s="272">
        <f>ROUND(E81*F81,2)</f>
        <v>387.24</v>
      </c>
      <c r="H81" s="257" t="s">
        <v>357</v>
      </c>
      <c r="I81" s="206"/>
    </row>
    <row r="82" spans="1:9" s="207" customFormat="1" ht="108">
      <c r="A82" s="278" t="s">
        <v>503</v>
      </c>
      <c r="B82" s="195" t="s">
        <v>387</v>
      </c>
      <c r="C82" s="196" t="s">
        <v>386</v>
      </c>
      <c r="D82" s="197" t="s">
        <v>12</v>
      </c>
      <c r="E82" s="327">
        <f>0.9+0.7</f>
        <v>1.6</v>
      </c>
      <c r="F82" s="271">
        <v>158.22</v>
      </c>
      <c r="G82" s="272">
        <f>ROUND(E82*F82,2)</f>
        <v>253.15</v>
      </c>
      <c r="H82" s="257" t="s">
        <v>438</v>
      </c>
      <c r="I82" s="206"/>
    </row>
    <row r="83" spans="1:9" s="207" customFormat="1" ht="120">
      <c r="A83" s="278" t="s">
        <v>504</v>
      </c>
      <c r="B83" s="195" t="s">
        <v>412</v>
      </c>
      <c r="C83" s="196" t="s">
        <v>411</v>
      </c>
      <c r="D83" s="197" t="s">
        <v>12</v>
      </c>
      <c r="E83" s="327">
        <f>(3.45+5.47)*0.65</f>
        <v>5.798</v>
      </c>
      <c r="F83" s="271">
        <v>506.06</v>
      </c>
      <c r="G83" s="272">
        <v>2935.15</v>
      </c>
      <c r="H83" s="257" t="s">
        <v>413</v>
      </c>
      <c r="I83" s="206"/>
    </row>
    <row r="84" spans="1:9" s="207" customFormat="1" ht="96">
      <c r="A84" s="278" t="s">
        <v>505</v>
      </c>
      <c r="B84" s="257" t="s">
        <v>390</v>
      </c>
      <c r="C84" s="196" t="s">
        <v>391</v>
      </c>
      <c r="D84" s="197" t="s">
        <v>21</v>
      </c>
      <c r="E84" s="327">
        <v>3</v>
      </c>
      <c r="F84" s="271">
        <v>47.86</v>
      </c>
      <c r="G84" s="272">
        <f>ROUND(E84*F84,2)</f>
        <v>143.58</v>
      </c>
      <c r="H84" s="199" t="s">
        <v>392</v>
      </c>
      <c r="I84" s="206"/>
    </row>
    <row r="85" spans="1:9" s="207" customFormat="1" ht="13.5" thickBot="1">
      <c r="A85" s="255"/>
      <c r="B85" s="257"/>
      <c r="C85" s="253"/>
      <c r="D85" s="254"/>
      <c r="E85" s="221"/>
      <c r="F85" s="251"/>
      <c r="G85" s="256"/>
      <c r="H85" s="199"/>
      <c r="I85" s="206"/>
    </row>
    <row r="86" spans="1:9" s="47" customFormat="1" ht="12.75" customHeight="1" thickBot="1">
      <c r="A86" s="35" t="s">
        <v>29</v>
      </c>
      <c r="B86" s="36"/>
      <c r="C86" s="37" t="s">
        <v>515</v>
      </c>
      <c r="D86" s="38"/>
      <c r="E86" s="38"/>
      <c r="F86" s="38"/>
      <c r="G86" s="39">
        <f>SUM(G87:G88)</f>
        <v>13949.41</v>
      </c>
      <c r="H86" s="48"/>
      <c r="I86" s="206"/>
    </row>
    <row r="87" spans="1:9" s="47" customFormat="1" ht="132" customHeight="1">
      <c r="A87" s="278" t="s">
        <v>105</v>
      </c>
      <c r="B87" s="334" t="s">
        <v>27</v>
      </c>
      <c r="C87" s="335" t="s">
        <v>28</v>
      </c>
      <c r="D87" s="332" t="s">
        <v>12</v>
      </c>
      <c r="E87" s="294">
        <f>(1.74*2.2)+(0.6+0.6+1.25)*1+(0.37*6.4)+(2+2+3+3)*(0.9)+(1.45+1.45+2)*1.85+(3.1*2.65)+(9.7+11.7+12.2)*3</f>
        <v>135.726</v>
      </c>
      <c r="F87" s="267">
        <v>59.19</v>
      </c>
      <c r="G87" s="256">
        <v>8033.86</v>
      </c>
      <c r="H87" s="257" t="s">
        <v>575</v>
      </c>
      <c r="I87" s="206"/>
    </row>
    <row r="88" spans="1:9" s="47" customFormat="1" ht="132" customHeight="1">
      <c r="A88" s="278" t="s">
        <v>506</v>
      </c>
      <c r="B88" s="195" t="s">
        <v>180</v>
      </c>
      <c r="C88" s="196" t="s">
        <v>179</v>
      </c>
      <c r="D88" s="197" t="s">
        <v>12</v>
      </c>
      <c r="E88" s="200">
        <f>(1.15+0.51+0.11)*1.8+(1.15+1.15+0.15+0.3+0.6+0.6+0.8)*1.8</f>
        <v>11.736</v>
      </c>
      <c r="F88" s="267">
        <v>503.88</v>
      </c>
      <c r="G88" s="256">
        <v>5915.55</v>
      </c>
      <c r="H88" s="205" t="s">
        <v>181</v>
      </c>
      <c r="I88" s="206"/>
    </row>
    <row r="89" spans="1:9" s="47" customFormat="1" ht="13.5" thickBot="1">
      <c r="A89" s="278"/>
      <c r="B89" s="252"/>
      <c r="C89" s="253"/>
      <c r="D89" s="254"/>
      <c r="E89" s="200"/>
      <c r="F89" s="271"/>
      <c r="G89" s="272"/>
      <c r="H89" s="205"/>
      <c r="I89" s="206"/>
    </row>
    <row r="90" spans="1:9" s="47" customFormat="1" ht="13.5" thickBot="1">
      <c r="A90" s="35" t="s">
        <v>42</v>
      </c>
      <c r="B90" s="36"/>
      <c r="C90" s="37" t="s">
        <v>516</v>
      </c>
      <c r="D90" s="38"/>
      <c r="E90" s="38"/>
      <c r="F90" s="38"/>
      <c r="G90" s="39">
        <f>G91+G94+G103</f>
        <v>94804.92</v>
      </c>
      <c r="H90" s="205"/>
      <c r="I90" s="206"/>
    </row>
    <row r="91" spans="1:9" s="47" customFormat="1" ht="13.5" thickBot="1">
      <c r="A91" s="35" t="s">
        <v>48</v>
      </c>
      <c r="B91" s="49"/>
      <c r="C91" s="37" t="s">
        <v>345</v>
      </c>
      <c r="D91" s="50"/>
      <c r="E91" s="50"/>
      <c r="F91" s="214"/>
      <c r="G91" s="39">
        <f>G92</f>
        <v>450.35</v>
      </c>
      <c r="H91" s="205"/>
      <c r="I91" s="206"/>
    </row>
    <row r="92" spans="1:8" s="215" customFormat="1" ht="108">
      <c r="A92" s="282" t="s">
        <v>507</v>
      </c>
      <c r="B92" s="195" t="s">
        <v>343</v>
      </c>
      <c r="C92" s="196" t="s">
        <v>342</v>
      </c>
      <c r="D92" s="197" t="s">
        <v>219</v>
      </c>
      <c r="E92" s="306">
        <v>5.18</v>
      </c>
      <c r="F92" s="267">
        <v>86.94</v>
      </c>
      <c r="G92" s="333">
        <f>ROUND(E92*F92,2)</f>
        <v>450.35</v>
      </c>
      <c r="H92" s="283" t="s">
        <v>344</v>
      </c>
    </row>
    <row r="93" spans="1:8" s="215" customFormat="1" ht="13.5" thickBot="1">
      <c r="A93" s="258"/>
      <c r="B93" s="252"/>
      <c r="C93" s="253"/>
      <c r="D93" s="254"/>
      <c r="E93" s="266"/>
      <c r="F93" s="267"/>
      <c r="G93" s="268"/>
      <c r="H93" s="283"/>
    </row>
    <row r="94" spans="1:8" s="215" customFormat="1" ht="13.5" thickBot="1">
      <c r="A94" s="35" t="s">
        <v>51</v>
      </c>
      <c r="B94" s="36"/>
      <c r="C94" s="37" t="s">
        <v>296</v>
      </c>
      <c r="D94" s="38"/>
      <c r="E94" s="38"/>
      <c r="F94" s="214"/>
      <c r="G94" s="55">
        <f>SUM(G95:G101)</f>
        <v>30283.27</v>
      </c>
      <c r="H94" s="257"/>
    </row>
    <row r="95" spans="1:8" s="215" customFormat="1" ht="108">
      <c r="A95" s="282" t="s">
        <v>508</v>
      </c>
      <c r="B95" s="282" t="s">
        <v>44</v>
      </c>
      <c r="C95" s="305" t="s">
        <v>45</v>
      </c>
      <c r="D95" s="306" t="s">
        <v>46</v>
      </c>
      <c r="E95" s="307">
        <f>(34.11*0.15*0.2)+(34.11*0.15*0.15)+(11*0.15*0.15*0.8)+(0.5*0.5*0.25*11)+52.03*0.1</f>
        <v>7.879275</v>
      </c>
      <c r="F95" s="267">
        <v>2650.67</v>
      </c>
      <c r="G95" s="323">
        <v>20887.28</v>
      </c>
      <c r="H95" s="257" t="s">
        <v>439</v>
      </c>
    </row>
    <row r="96" spans="1:8" s="215" customFormat="1" ht="108">
      <c r="A96" s="282" t="s">
        <v>509</v>
      </c>
      <c r="B96" s="282" t="s">
        <v>292</v>
      </c>
      <c r="C96" s="305" t="s">
        <v>293</v>
      </c>
      <c r="D96" s="306" t="s">
        <v>46</v>
      </c>
      <c r="E96" s="307">
        <f>(0.15*0.05*34.11)+(0.5*0.5*0.005*11)</f>
        <v>0.26957499999999995</v>
      </c>
      <c r="F96" s="267">
        <v>338.05</v>
      </c>
      <c r="G96" s="323">
        <v>91.27</v>
      </c>
      <c r="H96" s="308" t="s">
        <v>440</v>
      </c>
    </row>
    <row r="97" spans="1:8" s="215" customFormat="1" ht="144">
      <c r="A97" s="282" t="s">
        <v>510</v>
      </c>
      <c r="B97" s="252" t="s">
        <v>294</v>
      </c>
      <c r="C97" s="253" t="s">
        <v>295</v>
      </c>
      <c r="D97" s="254" t="s">
        <v>46</v>
      </c>
      <c r="E97" s="307">
        <f>52.03*0.8</f>
        <v>41.624</v>
      </c>
      <c r="F97" s="267">
        <v>134.61</v>
      </c>
      <c r="G97" s="323">
        <v>5602.47</v>
      </c>
      <c r="H97" s="308" t="s">
        <v>297</v>
      </c>
    </row>
    <row r="98" spans="1:8" s="215" customFormat="1" ht="120">
      <c r="A98" s="282" t="s">
        <v>511</v>
      </c>
      <c r="B98" s="195" t="s">
        <v>389</v>
      </c>
      <c r="C98" s="196" t="s">
        <v>388</v>
      </c>
      <c r="D98" s="197" t="s">
        <v>12</v>
      </c>
      <c r="E98" s="307">
        <f>34.11*0.8</f>
        <v>27.288</v>
      </c>
      <c r="F98" s="267">
        <v>55.45</v>
      </c>
      <c r="G98" s="323">
        <v>1513.23</v>
      </c>
      <c r="H98" s="308" t="s">
        <v>441</v>
      </c>
    </row>
    <row r="99" spans="1:8" s="215" customFormat="1" ht="120">
      <c r="A99" s="282" t="s">
        <v>512</v>
      </c>
      <c r="B99" s="280" t="s">
        <v>298</v>
      </c>
      <c r="C99" s="281" t="s">
        <v>299</v>
      </c>
      <c r="D99" s="279" t="s">
        <v>12</v>
      </c>
      <c r="E99" s="307">
        <f>34.11*0.8*2</f>
        <v>54.576</v>
      </c>
      <c r="F99" s="267">
        <v>31.9</v>
      </c>
      <c r="G99" s="323">
        <v>1741.1</v>
      </c>
      <c r="H99" s="308" t="s">
        <v>442</v>
      </c>
    </row>
    <row r="100" spans="1:8" ht="96">
      <c r="A100" s="282" t="s">
        <v>513</v>
      </c>
      <c r="B100" s="252" t="s">
        <v>446</v>
      </c>
      <c r="C100" s="253" t="s">
        <v>447</v>
      </c>
      <c r="D100" s="254" t="s">
        <v>46</v>
      </c>
      <c r="E100" s="322">
        <f>(0.8*0.8*0.8*11)</f>
        <v>5.6320000000000014</v>
      </c>
      <c r="F100" s="267">
        <v>53.23</v>
      </c>
      <c r="G100" s="323">
        <v>299.68</v>
      </c>
      <c r="H100" s="308" t="s">
        <v>572</v>
      </c>
    </row>
    <row r="101" spans="1:8" ht="72">
      <c r="A101" s="282" t="s">
        <v>514</v>
      </c>
      <c r="B101" s="253" t="s">
        <v>448</v>
      </c>
      <c r="C101" s="253" t="s">
        <v>449</v>
      </c>
      <c r="D101" s="253" t="s">
        <v>46</v>
      </c>
      <c r="E101" s="329">
        <f>E100*0.8</f>
        <v>4.505600000000001</v>
      </c>
      <c r="F101" s="267">
        <v>32.87</v>
      </c>
      <c r="G101" s="323">
        <v>148.24</v>
      </c>
      <c r="H101" s="330" t="s">
        <v>450</v>
      </c>
    </row>
    <row r="102" spans="1:6" ht="13.5" thickBot="1">
      <c r="A102" s="282"/>
      <c r="B102" s="252"/>
      <c r="C102" s="253"/>
      <c r="D102" s="254"/>
      <c r="E102" s="221"/>
      <c r="F102" s="251"/>
    </row>
    <row r="103" spans="1:7" ht="13.5" thickBot="1">
      <c r="A103" s="35" t="s">
        <v>553</v>
      </c>
      <c r="B103" s="36"/>
      <c r="C103" s="37" t="s">
        <v>26</v>
      </c>
      <c r="D103" s="38"/>
      <c r="E103" s="38"/>
      <c r="F103" s="214"/>
      <c r="G103" s="55">
        <f>SUM(G104:G106)</f>
        <v>64071.299999999996</v>
      </c>
    </row>
    <row r="104" spans="1:8" s="215" customFormat="1" ht="36">
      <c r="A104" s="282" t="s">
        <v>554</v>
      </c>
      <c r="B104" s="195" t="s">
        <v>266</v>
      </c>
      <c r="C104" s="196" t="s">
        <v>265</v>
      </c>
      <c r="D104" s="197" t="s">
        <v>12</v>
      </c>
      <c r="E104" s="253">
        <v>182.35</v>
      </c>
      <c r="F104" s="272">
        <v>77.86</v>
      </c>
      <c r="G104" s="256">
        <f>ROUND(E104*F104,2)</f>
        <v>14197.77</v>
      </c>
      <c r="H104" s="257" t="s">
        <v>267</v>
      </c>
    </row>
    <row r="105" spans="1:8" ht="120">
      <c r="A105" s="282" t="s">
        <v>555</v>
      </c>
      <c r="B105" s="195" t="s">
        <v>314</v>
      </c>
      <c r="C105" s="196" t="s">
        <v>313</v>
      </c>
      <c r="D105" s="197" t="s">
        <v>12</v>
      </c>
      <c r="E105" s="328">
        <f>182.35</f>
        <v>182.35</v>
      </c>
      <c r="F105" s="272">
        <v>261.48</v>
      </c>
      <c r="G105" s="256">
        <f>ROUND(E105*F105,2)</f>
        <v>47680.88</v>
      </c>
      <c r="H105" s="257" t="s">
        <v>267</v>
      </c>
    </row>
    <row r="106" spans="1:8" ht="60">
      <c r="A106" s="282" t="s">
        <v>556</v>
      </c>
      <c r="B106" s="195" t="s">
        <v>395</v>
      </c>
      <c r="C106" s="196" t="s">
        <v>393</v>
      </c>
      <c r="D106" s="197" t="s">
        <v>219</v>
      </c>
      <c r="E106" s="327">
        <f>55.3</f>
        <v>55.3</v>
      </c>
      <c r="F106" s="272">
        <v>39.65</v>
      </c>
      <c r="G106" s="256">
        <f>ROUND(E106*F106,2)</f>
        <v>2192.65</v>
      </c>
      <c r="H106" s="290" t="s">
        <v>394</v>
      </c>
    </row>
    <row r="107" spans="1:8" ht="13.5" thickBot="1">
      <c r="A107" s="282"/>
      <c r="B107" s="252"/>
      <c r="C107" s="253"/>
      <c r="D107" s="254"/>
      <c r="E107" s="220"/>
      <c r="F107" s="220"/>
      <c r="G107" s="220"/>
      <c r="H107" s="290"/>
    </row>
    <row r="108" spans="1:9" ht="24.75" thickBot="1">
      <c r="A108" s="35" t="s">
        <v>43</v>
      </c>
      <c r="B108" s="36"/>
      <c r="C108" s="37" t="s">
        <v>517</v>
      </c>
      <c r="D108" s="38"/>
      <c r="E108" s="38"/>
      <c r="F108" s="214"/>
      <c r="G108" s="55">
        <f>SUM(G109:G134)</f>
        <v>20807.42</v>
      </c>
      <c r="H108" s="53"/>
      <c r="I108" s="220"/>
    </row>
    <row r="109" spans="1:9" ht="84" customHeight="1">
      <c r="A109" s="299" t="s">
        <v>62</v>
      </c>
      <c r="B109" s="299" t="s">
        <v>30</v>
      </c>
      <c r="C109" s="300" t="s">
        <v>31</v>
      </c>
      <c r="D109" s="301" t="s">
        <v>21</v>
      </c>
      <c r="E109" s="303">
        <f>1+2+2+2+2</f>
        <v>9</v>
      </c>
      <c r="F109" s="272">
        <v>79.94</v>
      </c>
      <c r="G109" s="272">
        <f aca="true" t="shared" si="3" ref="G109:G134">ROUND(E109*F109,2)</f>
        <v>719.46</v>
      </c>
      <c r="H109" s="199" t="s">
        <v>406</v>
      </c>
      <c r="I109" s="220"/>
    </row>
    <row r="110" spans="1:9" ht="72" customHeight="1">
      <c r="A110" s="299" t="s">
        <v>518</v>
      </c>
      <c r="B110" s="295" t="s">
        <v>32</v>
      </c>
      <c r="C110" s="296" t="s">
        <v>33</v>
      </c>
      <c r="D110" s="297" t="s">
        <v>21</v>
      </c>
      <c r="E110" s="294">
        <v>9</v>
      </c>
      <c r="F110" s="272">
        <v>26.27</v>
      </c>
      <c r="G110" s="272">
        <f t="shared" si="3"/>
        <v>236.43</v>
      </c>
      <c r="H110" s="199" t="s">
        <v>406</v>
      </c>
      <c r="I110" s="269"/>
    </row>
    <row r="111" spans="1:10" s="47" customFormat="1" ht="132">
      <c r="A111" s="299" t="s">
        <v>519</v>
      </c>
      <c r="B111" s="195" t="s">
        <v>126</v>
      </c>
      <c r="C111" s="196" t="s">
        <v>125</v>
      </c>
      <c r="D111" s="197" t="s">
        <v>21</v>
      </c>
      <c r="E111" s="303">
        <v>5</v>
      </c>
      <c r="F111" s="272">
        <v>357.16</v>
      </c>
      <c r="G111" s="272">
        <f t="shared" si="3"/>
        <v>1785.8</v>
      </c>
      <c r="H111" s="199" t="s">
        <v>401</v>
      </c>
      <c r="I111" s="206"/>
      <c r="J111" s="207"/>
    </row>
    <row r="112" spans="1:9" s="47" customFormat="1" ht="96">
      <c r="A112" s="299" t="s">
        <v>84</v>
      </c>
      <c r="B112" s="196" t="s">
        <v>136</v>
      </c>
      <c r="C112" s="196" t="s">
        <v>135</v>
      </c>
      <c r="D112" s="277" t="s">
        <v>21</v>
      </c>
      <c r="E112" s="303">
        <v>1</v>
      </c>
      <c r="F112" s="272">
        <v>635.87</v>
      </c>
      <c r="G112" s="272">
        <f t="shared" si="3"/>
        <v>635.87</v>
      </c>
      <c r="H112" s="199" t="s">
        <v>173</v>
      </c>
      <c r="I112" s="206"/>
    </row>
    <row r="113" spans="1:9" s="47" customFormat="1" ht="228">
      <c r="A113" s="299" t="s">
        <v>520</v>
      </c>
      <c r="B113" s="195" t="s">
        <v>165</v>
      </c>
      <c r="C113" s="196" t="s">
        <v>164</v>
      </c>
      <c r="D113" s="197" t="s">
        <v>21</v>
      </c>
      <c r="E113" s="200">
        <v>6</v>
      </c>
      <c r="F113" s="272">
        <v>330.06</v>
      </c>
      <c r="G113" s="272">
        <f t="shared" si="3"/>
        <v>1980.36</v>
      </c>
      <c r="H113" s="257" t="s">
        <v>573</v>
      </c>
      <c r="I113" s="206"/>
    </row>
    <row r="114" spans="1:9" s="47" customFormat="1" ht="96">
      <c r="A114" s="299" t="s">
        <v>521</v>
      </c>
      <c r="B114" s="299" t="s">
        <v>34</v>
      </c>
      <c r="C114" s="300" t="s">
        <v>35</v>
      </c>
      <c r="D114" s="301" t="s">
        <v>21</v>
      </c>
      <c r="E114" s="294">
        <v>12</v>
      </c>
      <c r="F114" s="272">
        <v>38.07</v>
      </c>
      <c r="G114" s="272">
        <f t="shared" si="3"/>
        <v>456.84</v>
      </c>
      <c r="H114" s="257" t="s">
        <v>204</v>
      </c>
      <c r="I114" s="206"/>
    </row>
    <row r="115" spans="1:9" s="47" customFormat="1" ht="96">
      <c r="A115" s="299" t="s">
        <v>522</v>
      </c>
      <c r="B115" s="299" t="s">
        <v>40</v>
      </c>
      <c r="C115" s="300" t="s">
        <v>41</v>
      </c>
      <c r="D115" s="301" t="s">
        <v>21</v>
      </c>
      <c r="E115" s="200">
        <v>12</v>
      </c>
      <c r="F115" s="272">
        <v>39.87</v>
      </c>
      <c r="G115" s="272">
        <f>ROUND(E115*F115,2)</f>
        <v>478.44</v>
      </c>
      <c r="H115" s="257" t="s">
        <v>204</v>
      </c>
      <c r="I115" s="206"/>
    </row>
    <row r="116" spans="1:9" s="47" customFormat="1" ht="96">
      <c r="A116" s="299" t="s">
        <v>523</v>
      </c>
      <c r="B116" s="195" t="s">
        <v>588</v>
      </c>
      <c r="C116" s="196" t="s">
        <v>587</v>
      </c>
      <c r="D116" s="197" t="s">
        <v>21</v>
      </c>
      <c r="E116" s="303">
        <v>25</v>
      </c>
      <c r="F116" s="272">
        <v>34.15</v>
      </c>
      <c r="G116" s="272">
        <f>ROUND(E116*F116,2)</f>
        <v>853.75</v>
      </c>
      <c r="H116" s="257" t="s">
        <v>400</v>
      </c>
      <c r="I116" s="206"/>
    </row>
    <row r="117" spans="1:9" s="47" customFormat="1" ht="84">
      <c r="A117" s="299" t="s">
        <v>524</v>
      </c>
      <c r="B117" s="299" t="s">
        <v>36</v>
      </c>
      <c r="C117" s="300" t="s">
        <v>37</v>
      </c>
      <c r="D117" s="301" t="s">
        <v>21</v>
      </c>
      <c r="E117" s="303">
        <v>22</v>
      </c>
      <c r="F117" s="272">
        <v>43.36</v>
      </c>
      <c r="G117" s="272">
        <f t="shared" si="3"/>
        <v>953.92</v>
      </c>
      <c r="H117" s="257" t="s">
        <v>205</v>
      </c>
      <c r="I117" s="206"/>
    </row>
    <row r="118" spans="1:9" s="47" customFormat="1" ht="84">
      <c r="A118" s="299" t="s">
        <v>525</v>
      </c>
      <c r="B118" s="299" t="s">
        <v>38</v>
      </c>
      <c r="C118" s="300" t="s">
        <v>39</v>
      </c>
      <c r="D118" s="301" t="s">
        <v>12</v>
      </c>
      <c r="E118" s="338">
        <f>(2.3*0.8*2)+(0.95*0.8)+(1.6*0.8)+(0.7*0.8)+(0.8*0.8)+(1*0.8)+(0.6*0.8)+(1*0.8)</f>
        <v>9</v>
      </c>
      <c r="F118" s="272">
        <v>342.04</v>
      </c>
      <c r="G118" s="272">
        <f t="shared" si="3"/>
        <v>3078.36</v>
      </c>
      <c r="H118" s="257" t="s">
        <v>399</v>
      </c>
      <c r="I118" s="206"/>
    </row>
    <row r="119" spans="1:9" s="47" customFormat="1" ht="72">
      <c r="A119" s="299" t="s">
        <v>526</v>
      </c>
      <c r="B119" s="195" t="s">
        <v>141</v>
      </c>
      <c r="C119" s="196" t="s">
        <v>140</v>
      </c>
      <c r="D119" s="197" t="s">
        <v>21</v>
      </c>
      <c r="E119" s="200">
        <v>9</v>
      </c>
      <c r="F119" s="272">
        <v>50.38</v>
      </c>
      <c r="G119" s="272">
        <f t="shared" si="3"/>
        <v>453.42</v>
      </c>
      <c r="H119" s="257" t="s">
        <v>403</v>
      </c>
      <c r="I119" s="206"/>
    </row>
    <row r="120" spans="1:9" s="47" customFormat="1" ht="120">
      <c r="A120" s="299" t="s">
        <v>527</v>
      </c>
      <c r="B120" s="195" t="s">
        <v>139</v>
      </c>
      <c r="C120" s="196" t="s">
        <v>138</v>
      </c>
      <c r="D120" s="197" t="s">
        <v>21</v>
      </c>
      <c r="E120" s="200">
        <v>1</v>
      </c>
      <c r="F120" s="272">
        <v>403.3</v>
      </c>
      <c r="G120" s="272">
        <f t="shared" si="3"/>
        <v>403.3</v>
      </c>
      <c r="H120" s="326" t="s">
        <v>137</v>
      </c>
      <c r="I120" s="207"/>
    </row>
    <row r="121" spans="1:9" s="47" customFormat="1" ht="60">
      <c r="A121" s="299" t="s">
        <v>528</v>
      </c>
      <c r="B121" s="195" t="s">
        <v>187</v>
      </c>
      <c r="C121" s="196" t="s">
        <v>186</v>
      </c>
      <c r="D121" s="197" t="s">
        <v>21</v>
      </c>
      <c r="E121" s="200">
        <v>9</v>
      </c>
      <c r="F121" s="272">
        <v>73.19</v>
      </c>
      <c r="G121" s="272">
        <f t="shared" si="3"/>
        <v>658.71</v>
      </c>
      <c r="H121" s="257" t="s">
        <v>403</v>
      </c>
      <c r="I121" s="206"/>
    </row>
    <row r="122" spans="1:9" s="47" customFormat="1" ht="216">
      <c r="A122" s="299" t="s">
        <v>529</v>
      </c>
      <c r="B122" s="195" t="s">
        <v>131</v>
      </c>
      <c r="C122" s="196" t="s">
        <v>130</v>
      </c>
      <c r="D122" s="277" t="s">
        <v>21</v>
      </c>
      <c r="E122" s="200">
        <v>1</v>
      </c>
      <c r="F122" s="272">
        <v>902.56</v>
      </c>
      <c r="G122" s="272">
        <f t="shared" si="3"/>
        <v>902.56</v>
      </c>
      <c r="H122" s="257" t="s">
        <v>132</v>
      </c>
      <c r="I122" s="206"/>
    </row>
    <row r="123" spans="1:9" s="47" customFormat="1" ht="24">
      <c r="A123" s="299" t="s">
        <v>530</v>
      </c>
      <c r="B123" s="195" t="s">
        <v>207</v>
      </c>
      <c r="C123" s="196" t="s">
        <v>206</v>
      </c>
      <c r="D123" s="197" t="s">
        <v>21</v>
      </c>
      <c r="E123" s="200">
        <f>2</f>
        <v>2</v>
      </c>
      <c r="F123" s="272">
        <v>18.64</v>
      </c>
      <c r="G123" s="272">
        <f t="shared" si="3"/>
        <v>37.28</v>
      </c>
      <c r="H123" s="257" t="s">
        <v>443</v>
      </c>
      <c r="I123" s="206"/>
    </row>
    <row r="124" spans="1:9" s="47" customFormat="1" ht="96">
      <c r="A124" s="299" t="s">
        <v>531</v>
      </c>
      <c r="B124" s="195" t="s">
        <v>167</v>
      </c>
      <c r="C124" s="196" t="s">
        <v>166</v>
      </c>
      <c r="D124" s="197" t="s">
        <v>21</v>
      </c>
      <c r="E124" s="200">
        <v>3</v>
      </c>
      <c r="F124" s="272">
        <v>262.16</v>
      </c>
      <c r="G124" s="272">
        <f t="shared" si="3"/>
        <v>786.48</v>
      </c>
      <c r="H124" s="257" t="s">
        <v>208</v>
      </c>
      <c r="I124" s="206"/>
    </row>
    <row r="125" spans="1:9" s="47" customFormat="1" ht="72">
      <c r="A125" s="299" t="s">
        <v>532</v>
      </c>
      <c r="B125" s="195" t="s">
        <v>169</v>
      </c>
      <c r="C125" s="196" t="s">
        <v>168</v>
      </c>
      <c r="D125" s="197" t="s">
        <v>21</v>
      </c>
      <c r="E125" s="200">
        <v>2</v>
      </c>
      <c r="F125" s="272">
        <v>381.42</v>
      </c>
      <c r="G125" s="272">
        <f t="shared" si="3"/>
        <v>762.84</v>
      </c>
      <c r="H125" s="257" t="s">
        <v>209</v>
      </c>
      <c r="I125" s="206"/>
    </row>
    <row r="126" spans="1:9" s="47" customFormat="1" ht="62.25" customHeight="1">
      <c r="A126" s="299" t="s">
        <v>533</v>
      </c>
      <c r="B126" s="195" t="s">
        <v>567</v>
      </c>
      <c r="C126" s="196" t="s">
        <v>203</v>
      </c>
      <c r="D126" s="197" t="s">
        <v>21</v>
      </c>
      <c r="E126" s="200">
        <v>6</v>
      </c>
      <c r="F126" s="272">
        <v>52.44</v>
      </c>
      <c r="G126" s="272">
        <f t="shared" si="3"/>
        <v>314.64</v>
      </c>
      <c r="H126" s="257" t="s">
        <v>602</v>
      </c>
      <c r="I126" s="206"/>
    </row>
    <row r="127" spans="1:9" s="47" customFormat="1" ht="96">
      <c r="A127" s="299" t="s">
        <v>534</v>
      </c>
      <c r="B127" s="195" t="s">
        <v>211</v>
      </c>
      <c r="C127" s="196" t="s">
        <v>210</v>
      </c>
      <c r="D127" s="197" t="s">
        <v>21</v>
      </c>
      <c r="E127" s="200">
        <v>2</v>
      </c>
      <c r="F127" s="272">
        <v>403.3</v>
      </c>
      <c r="G127" s="272">
        <f t="shared" si="3"/>
        <v>806.6</v>
      </c>
      <c r="H127" s="325" t="s">
        <v>212</v>
      </c>
      <c r="I127" s="206"/>
    </row>
    <row r="128" spans="1:9" s="47" customFormat="1" ht="108">
      <c r="A128" s="299" t="s">
        <v>535</v>
      </c>
      <c r="B128" s="195" t="s">
        <v>214</v>
      </c>
      <c r="C128" s="196" t="s">
        <v>213</v>
      </c>
      <c r="D128" s="197" t="s">
        <v>21</v>
      </c>
      <c r="E128" s="200">
        <v>2</v>
      </c>
      <c r="F128" s="272">
        <v>832.33</v>
      </c>
      <c r="G128" s="272">
        <f t="shared" si="3"/>
        <v>1664.66</v>
      </c>
      <c r="H128" s="325" t="s">
        <v>212</v>
      </c>
      <c r="I128" s="206"/>
    </row>
    <row r="129" spans="1:9" s="47" customFormat="1" ht="96">
      <c r="A129" s="299" t="s">
        <v>536</v>
      </c>
      <c r="B129" s="195" t="s">
        <v>416</v>
      </c>
      <c r="C129" s="196" t="s">
        <v>415</v>
      </c>
      <c r="D129" s="197" t="s">
        <v>21</v>
      </c>
      <c r="E129" s="200">
        <v>1</v>
      </c>
      <c r="F129" s="272">
        <v>564.28</v>
      </c>
      <c r="G129" s="272">
        <f t="shared" si="3"/>
        <v>564.28</v>
      </c>
      <c r="H129" s="325" t="s">
        <v>417</v>
      </c>
      <c r="I129" s="206"/>
    </row>
    <row r="130" spans="1:9" s="47" customFormat="1" ht="144">
      <c r="A130" s="299" t="s">
        <v>537</v>
      </c>
      <c r="B130" s="195" t="s">
        <v>227</v>
      </c>
      <c r="C130" s="196" t="s">
        <v>225</v>
      </c>
      <c r="D130" s="197" t="s">
        <v>21</v>
      </c>
      <c r="E130" s="200">
        <v>5</v>
      </c>
      <c r="F130" s="272">
        <v>189.57</v>
      </c>
      <c r="G130" s="272">
        <f t="shared" si="3"/>
        <v>947.85</v>
      </c>
      <c r="H130" s="257" t="s">
        <v>444</v>
      </c>
      <c r="I130" s="206"/>
    </row>
    <row r="131" spans="1:9" s="47" customFormat="1" ht="120">
      <c r="A131" s="299" t="s">
        <v>538</v>
      </c>
      <c r="B131" s="195" t="s">
        <v>228</v>
      </c>
      <c r="C131" s="196" t="s">
        <v>226</v>
      </c>
      <c r="D131" s="197" t="s">
        <v>21</v>
      </c>
      <c r="E131" s="200">
        <v>1</v>
      </c>
      <c r="F131" s="272">
        <v>265.82</v>
      </c>
      <c r="G131" s="272">
        <f t="shared" si="3"/>
        <v>265.82</v>
      </c>
      <c r="H131" s="257" t="s">
        <v>402</v>
      </c>
      <c r="I131" s="206"/>
    </row>
    <row r="132" spans="1:9" s="47" customFormat="1" ht="108">
      <c r="A132" s="299" t="s">
        <v>539</v>
      </c>
      <c r="B132" s="195" t="s">
        <v>326</v>
      </c>
      <c r="C132" s="324" t="s">
        <v>327</v>
      </c>
      <c r="D132" s="197" t="s">
        <v>21</v>
      </c>
      <c r="E132" s="200">
        <v>2</v>
      </c>
      <c r="F132" s="272">
        <v>158.94</v>
      </c>
      <c r="G132" s="272">
        <f t="shared" si="3"/>
        <v>317.88</v>
      </c>
      <c r="H132" s="257" t="s">
        <v>328</v>
      </c>
      <c r="I132" s="206"/>
    </row>
    <row r="133" spans="1:9" s="47" customFormat="1" ht="48">
      <c r="A133" s="299" t="s">
        <v>540</v>
      </c>
      <c r="B133" s="195" t="s">
        <v>405</v>
      </c>
      <c r="C133" s="196" t="s">
        <v>404</v>
      </c>
      <c r="D133" s="197" t="s">
        <v>21</v>
      </c>
      <c r="E133" s="200">
        <v>15</v>
      </c>
      <c r="F133" s="272">
        <v>24.05</v>
      </c>
      <c r="G133" s="272">
        <f t="shared" si="3"/>
        <v>360.75</v>
      </c>
      <c r="H133" s="257" t="s">
        <v>407</v>
      </c>
      <c r="I133" s="206"/>
    </row>
    <row r="134" spans="1:9" s="47" customFormat="1" ht="192">
      <c r="A134" s="299" t="s">
        <v>563</v>
      </c>
      <c r="B134" s="195" t="s">
        <v>561</v>
      </c>
      <c r="C134" s="196" t="s">
        <v>562</v>
      </c>
      <c r="D134" s="197" t="s">
        <v>21</v>
      </c>
      <c r="E134" s="200">
        <v>2</v>
      </c>
      <c r="F134" s="272">
        <v>190.56</v>
      </c>
      <c r="G134" s="272">
        <f t="shared" si="3"/>
        <v>381.12</v>
      </c>
      <c r="H134" s="257" t="s">
        <v>574</v>
      </c>
      <c r="I134" s="206"/>
    </row>
    <row r="135" spans="1:9" s="47" customFormat="1" ht="13.5" thickBot="1">
      <c r="A135" s="46"/>
      <c r="B135" s="216"/>
      <c r="C135" s="217"/>
      <c r="D135" s="198"/>
      <c r="E135" s="43"/>
      <c r="F135" s="4"/>
      <c r="G135" s="4"/>
      <c r="H135" s="53"/>
      <c r="I135" s="206"/>
    </row>
    <row r="136" spans="1:9" s="47" customFormat="1" ht="12.75" customHeight="1" thickBot="1">
      <c r="A136" s="35" t="s">
        <v>47</v>
      </c>
      <c r="B136" s="36"/>
      <c r="C136" s="37" t="s">
        <v>541</v>
      </c>
      <c r="D136" s="38"/>
      <c r="E136" s="38"/>
      <c r="F136" s="214"/>
      <c r="G136" s="55">
        <f>SUM(G137:G140)</f>
        <v>18387.559999999998</v>
      </c>
      <c r="H136" s="56"/>
      <c r="I136" s="206"/>
    </row>
    <row r="137" spans="1:9" s="47" customFormat="1" ht="170.25" customHeight="1">
      <c r="A137" s="280" t="s">
        <v>85</v>
      </c>
      <c r="B137" s="195" t="s">
        <v>101</v>
      </c>
      <c r="C137" s="196" t="s">
        <v>102</v>
      </c>
      <c r="D137" s="301" t="s">
        <v>21</v>
      </c>
      <c r="E137" s="200">
        <v>40</v>
      </c>
      <c r="F137" s="272">
        <v>142.99</v>
      </c>
      <c r="G137" s="272">
        <f>ROUND(E137*F137,2)</f>
        <v>5719.6</v>
      </c>
      <c r="H137" s="257" t="s">
        <v>445</v>
      </c>
      <c r="I137" s="270"/>
    </row>
    <row r="138" spans="1:9" s="47" customFormat="1" ht="60.75" customHeight="1">
      <c r="A138" s="280" t="s">
        <v>542</v>
      </c>
      <c r="B138" s="195" t="s">
        <v>104</v>
      </c>
      <c r="C138" s="196" t="s">
        <v>103</v>
      </c>
      <c r="D138" s="197" t="s">
        <v>21</v>
      </c>
      <c r="E138" s="200">
        <v>80</v>
      </c>
      <c r="F138" s="272">
        <v>12.02</v>
      </c>
      <c r="G138" s="272">
        <f>ROUND(E138*F138,2)</f>
        <v>961.6</v>
      </c>
      <c r="H138" s="257" t="s">
        <v>408</v>
      </c>
      <c r="I138" s="206"/>
    </row>
    <row r="139" spans="1:9" s="47" customFormat="1" ht="72">
      <c r="A139" s="280" t="s">
        <v>543</v>
      </c>
      <c r="B139" s="195" t="s">
        <v>419</v>
      </c>
      <c r="C139" s="196" t="s">
        <v>418</v>
      </c>
      <c r="D139" s="197" t="s">
        <v>21</v>
      </c>
      <c r="E139" s="200">
        <f>40+8</f>
        <v>48</v>
      </c>
      <c r="F139" s="272">
        <v>241.03</v>
      </c>
      <c r="G139" s="272">
        <f>ROUND(E139*F139,2)</f>
        <v>11569.44</v>
      </c>
      <c r="H139" s="257" t="s">
        <v>420</v>
      </c>
      <c r="I139" s="206"/>
    </row>
    <row r="140" spans="1:9" s="47" customFormat="1" ht="84">
      <c r="A140" s="280" t="s">
        <v>565</v>
      </c>
      <c r="B140" s="197" t="s">
        <v>581</v>
      </c>
      <c r="C140" s="253" t="s">
        <v>564</v>
      </c>
      <c r="D140" s="197" t="s">
        <v>21</v>
      </c>
      <c r="E140" s="200">
        <v>3</v>
      </c>
      <c r="F140" s="272">
        <v>45.64</v>
      </c>
      <c r="G140" s="272">
        <f>ROUND(E140*F140,2)</f>
        <v>136.92</v>
      </c>
      <c r="H140" s="257" t="s">
        <v>566</v>
      </c>
      <c r="I140" s="206"/>
    </row>
    <row r="141" spans="1:9" s="47" customFormat="1" ht="13.5" thickBot="1">
      <c r="A141" s="46"/>
      <c r="B141" s="216"/>
      <c r="C141" s="217"/>
      <c r="D141" s="198"/>
      <c r="E141" s="43"/>
      <c r="F141" s="4"/>
      <c r="G141" s="4"/>
      <c r="H141" s="53"/>
      <c r="I141" s="206"/>
    </row>
    <row r="142" spans="1:9" s="47" customFormat="1" ht="12.75" customHeight="1" thickBot="1">
      <c r="A142" s="35" t="s">
        <v>75</v>
      </c>
      <c r="B142" s="36"/>
      <c r="C142" s="37" t="s">
        <v>72</v>
      </c>
      <c r="D142" s="38"/>
      <c r="E142" s="38"/>
      <c r="F142" s="214"/>
      <c r="G142" s="213">
        <f>SUM(G143:G145)</f>
        <v>6434.549999999999</v>
      </c>
      <c r="H142" s="53"/>
      <c r="I142" s="206"/>
    </row>
    <row r="143" spans="1:9" s="47" customFormat="1" ht="120" customHeight="1">
      <c r="A143" s="278" t="s">
        <v>86</v>
      </c>
      <c r="B143" s="299" t="s">
        <v>44</v>
      </c>
      <c r="C143" s="324" t="s">
        <v>45</v>
      </c>
      <c r="D143" s="279" t="s">
        <v>46</v>
      </c>
      <c r="E143" s="200">
        <f>(4.9*0.15*0.2)+(4.9*0.15*0.15)+(4*0.15*0.15*1.85)+(0.5*0.5*0.25*4)+(2.65*0.15*0.2)+(2.65*0.15*0.15)+(2*0.15*0.15*1.85)+(0.5*0.5*0.25*2)</f>
        <v>1.021125</v>
      </c>
      <c r="F143" s="267">
        <v>2650.67</v>
      </c>
      <c r="G143" s="272">
        <v>2703.68</v>
      </c>
      <c r="H143" s="257" t="s">
        <v>305</v>
      </c>
      <c r="I143" s="206"/>
    </row>
    <row r="144" spans="1:9" s="47" customFormat="1" ht="120" customHeight="1">
      <c r="A144" s="278" t="s">
        <v>87</v>
      </c>
      <c r="B144" s="282" t="s">
        <v>292</v>
      </c>
      <c r="C144" s="305" t="s">
        <v>293</v>
      </c>
      <c r="D144" s="306" t="s">
        <v>46</v>
      </c>
      <c r="E144" s="307">
        <f>(0.15*0.05*4.9)+(0.5*0.5*0.05*4)+(0.15*0.05*2.65)+(0.5*0.5*0.05*2)</f>
        <v>0.131625</v>
      </c>
      <c r="F144" s="267">
        <v>338.05</v>
      </c>
      <c r="G144" s="272">
        <v>43.95</v>
      </c>
      <c r="H144" s="308" t="s">
        <v>306</v>
      </c>
      <c r="I144" s="206"/>
    </row>
    <row r="145" spans="1:9" s="47" customFormat="1" ht="156">
      <c r="A145" s="278" t="s">
        <v>88</v>
      </c>
      <c r="B145" s="195" t="s">
        <v>269</v>
      </c>
      <c r="C145" s="196" t="s">
        <v>268</v>
      </c>
      <c r="D145" s="197" t="s">
        <v>12</v>
      </c>
      <c r="E145" s="200">
        <f>17.66+(0.65*1.25*1*0.1)+(1.45*2)</f>
        <v>20.64125</v>
      </c>
      <c r="F145" s="267">
        <v>178.63</v>
      </c>
      <c r="G145" s="272">
        <v>3686.92</v>
      </c>
      <c r="H145" s="257" t="s">
        <v>302</v>
      </c>
      <c r="I145" s="206"/>
    </row>
    <row r="146" spans="1:9" s="47" customFormat="1" ht="13.5" thickBot="1">
      <c r="A146" s="280"/>
      <c r="B146" s="252"/>
      <c r="C146" s="253"/>
      <c r="D146" s="254"/>
      <c r="E146" s="200"/>
      <c r="F146" s="272"/>
      <c r="G146" s="256"/>
      <c r="H146" s="257"/>
      <c r="I146" s="206"/>
    </row>
    <row r="147" spans="1:9" s="47" customFormat="1" ht="12.75" customHeight="1" thickBot="1">
      <c r="A147" s="35" t="s">
        <v>89</v>
      </c>
      <c r="B147" s="36"/>
      <c r="C147" s="37" t="s">
        <v>71</v>
      </c>
      <c r="D147" s="38"/>
      <c r="E147" s="38"/>
      <c r="F147" s="214"/>
      <c r="G147" s="39">
        <f>SUM(G148:G154)</f>
        <v>83187.59</v>
      </c>
      <c r="H147" s="12"/>
      <c r="I147" s="206"/>
    </row>
    <row r="148" spans="1:9" s="47" customFormat="1" ht="409.5">
      <c r="A148" s="259" t="s">
        <v>544</v>
      </c>
      <c r="B148" s="299" t="s">
        <v>49</v>
      </c>
      <c r="C148" s="300" t="s">
        <v>50</v>
      </c>
      <c r="D148" s="259" t="s">
        <v>12</v>
      </c>
      <c r="E148" s="293">
        <f>5678</f>
        <v>5678</v>
      </c>
      <c r="F148" s="272">
        <v>9.25</v>
      </c>
      <c r="G148" s="272">
        <f>ROUND(E148*F148,2)</f>
        <v>52521.5</v>
      </c>
      <c r="H148" s="304" t="s">
        <v>591</v>
      </c>
      <c r="I148" s="206"/>
    </row>
    <row r="149" spans="1:9" s="47" customFormat="1" ht="132" customHeight="1">
      <c r="A149" s="259" t="s">
        <v>545</v>
      </c>
      <c r="B149" s="299" t="s">
        <v>52</v>
      </c>
      <c r="C149" s="300" t="s">
        <v>53</v>
      </c>
      <c r="D149" s="259" t="s">
        <v>12</v>
      </c>
      <c r="E149" s="205">
        <f>929.82+470.87+143.72</f>
        <v>1544.41</v>
      </c>
      <c r="F149" s="272">
        <v>13.15</v>
      </c>
      <c r="G149" s="272">
        <f>ROUND(E149*F149,2)</f>
        <v>20308.99</v>
      </c>
      <c r="H149" s="304" t="s">
        <v>329</v>
      </c>
      <c r="I149" s="206"/>
    </row>
    <row r="150" spans="1:9" s="47" customFormat="1" ht="132">
      <c r="A150" s="259" t="s">
        <v>546</v>
      </c>
      <c r="B150" s="299" t="s">
        <v>54</v>
      </c>
      <c r="C150" s="300" t="s">
        <v>55</v>
      </c>
      <c r="D150" s="301" t="s">
        <v>12</v>
      </c>
      <c r="E150" s="303">
        <f>((0.8*2.1*21)+(0.7*2.1*2)+(0.6*2.11*1)+(0.9*2.1*3))*2.5+((4.85*2)+(3.6*2)+(4.85*2)+(5*2)+(6.1*2)+(7.35*2)+(7.5*2)+(6.1*8)+(12*7.35)+(8.6*6)+(4*8.59)+(6.1+(3.6*2))*0.1)</f>
        <v>415.68</v>
      </c>
      <c r="F150" s="272">
        <v>16.47</v>
      </c>
      <c r="G150" s="272">
        <f>ROUND(E150*F150,2)</f>
        <v>6846.25</v>
      </c>
      <c r="H150" s="304" t="s">
        <v>396</v>
      </c>
      <c r="I150" s="206"/>
    </row>
    <row r="151" spans="1:9" s="47" customFormat="1" ht="168" customHeight="1">
      <c r="A151" s="259" t="s">
        <v>547</v>
      </c>
      <c r="B151" s="299" t="s">
        <v>56</v>
      </c>
      <c r="C151" s="300" t="s">
        <v>57</v>
      </c>
      <c r="D151" s="301" t="s">
        <v>12</v>
      </c>
      <c r="E151" s="302">
        <f>(0.8*2.1*2.5)+(0.8*2.1*2.5)+(0.8*2.1*2.5)+(0.8*2.1*2.5)+(0.8*2.1*2.5*4)+(1.8*2.1*2.5*2)+(1.2*2.1*2.5)+(0.8*2.1*2.5)+(1.7*1.85*2.5)</f>
        <v>70.8625</v>
      </c>
      <c r="F151" s="272">
        <v>27.97</v>
      </c>
      <c r="G151" s="272">
        <v>1981.95</v>
      </c>
      <c r="H151" s="300" t="s">
        <v>304</v>
      </c>
      <c r="I151" s="206"/>
    </row>
    <row r="152" spans="1:9" s="47" customFormat="1" ht="108" customHeight="1">
      <c r="A152" s="259" t="s">
        <v>548</v>
      </c>
      <c r="B152" s="299" t="s">
        <v>58</v>
      </c>
      <c r="C152" s="300" t="s">
        <v>59</v>
      </c>
      <c r="D152" s="301" t="s">
        <v>12</v>
      </c>
      <c r="E152" s="302">
        <f>((0.6+0.6+1.25*1)+(1.45+1.45+2)*1.85)*2</f>
        <v>23.03</v>
      </c>
      <c r="F152" s="272">
        <v>14.61</v>
      </c>
      <c r="G152" s="272">
        <f>ROUND(E152*F152,2)</f>
        <v>336.47</v>
      </c>
      <c r="H152" s="205" t="s">
        <v>307</v>
      </c>
      <c r="I152" s="206"/>
    </row>
    <row r="153" spans="1:9" s="47" customFormat="1" ht="84" customHeight="1">
      <c r="A153" s="259" t="s">
        <v>549</v>
      </c>
      <c r="B153" s="295" t="s">
        <v>60</v>
      </c>
      <c r="C153" s="296" t="s">
        <v>61</v>
      </c>
      <c r="D153" s="297" t="s">
        <v>12</v>
      </c>
      <c r="E153" s="294">
        <f>(0.8*1*2)+E56</f>
        <v>30.655</v>
      </c>
      <c r="F153" s="272">
        <v>26.19</v>
      </c>
      <c r="G153" s="272">
        <v>802.98</v>
      </c>
      <c r="H153" s="205" t="s">
        <v>590</v>
      </c>
      <c r="I153" s="206"/>
    </row>
    <row r="154" spans="1:9" s="47" customFormat="1" ht="144">
      <c r="A154" s="259" t="s">
        <v>550</v>
      </c>
      <c r="B154" s="280" t="s">
        <v>308</v>
      </c>
      <c r="C154" s="281" t="s">
        <v>309</v>
      </c>
      <c r="D154" s="293" t="s">
        <v>12</v>
      </c>
      <c r="E154" s="294">
        <f>((1.74*2.2)+(0.37*6.4)+(2+2+3+3))*2+(3.1*2.65)</f>
        <v>40.607</v>
      </c>
      <c r="F154" s="272">
        <v>9.59</v>
      </c>
      <c r="G154" s="272">
        <v>389.45</v>
      </c>
      <c r="H154" s="205" t="s">
        <v>310</v>
      </c>
      <c r="I154" s="206"/>
    </row>
    <row r="155" spans="1:9" s="47" customFormat="1" ht="12.75" customHeight="1">
      <c r="A155" s="54"/>
      <c r="B155" s="58"/>
      <c r="C155" s="59"/>
      <c r="D155" s="57"/>
      <c r="E155" s="52"/>
      <c r="F155" s="4"/>
      <c r="G155" s="4"/>
      <c r="H155" s="48"/>
      <c r="I155" s="206"/>
    </row>
    <row r="156" spans="1:9" s="47" customFormat="1" ht="12.75">
      <c r="A156" s="284" t="s">
        <v>551</v>
      </c>
      <c r="B156" s="285"/>
      <c r="C156" s="286" t="s">
        <v>552</v>
      </c>
      <c r="D156" s="287"/>
      <c r="E156" s="287"/>
      <c r="F156" s="288"/>
      <c r="G156" s="289">
        <f>SUM(G157:G159)</f>
        <v>76603.75</v>
      </c>
      <c r="H156" s="48"/>
      <c r="I156" s="206"/>
    </row>
    <row r="157" spans="1:9" s="207" customFormat="1" ht="72">
      <c r="A157" s="259" t="s">
        <v>578</v>
      </c>
      <c r="B157" s="195" t="s">
        <v>558</v>
      </c>
      <c r="C157" s="196" t="s">
        <v>557</v>
      </c>
      <c r="D157" s="197" t="s">
        <v>219</v>
      </c>
      <c r="E157" s="200">
        <v>225</v>
      </c>
      <c r="F157" s="272">
        <v>141.83</v>
      </c>
      <c r="G157" s="292">
        <f>ROUND(E157*F157,2)</f>
        <v>31911.75</v>
      </c>
      <c r="H157" s="205" t="s">
        <v>317</v>
      </c>
      <c r="I157" s="270"/>
    </row>
    <row r="158" spans="1:9" s="47" customFormat="1" ht="96">
      <c r="A158" s="259" t="s">
        <v>579</v>
      </c>
      <c r="B158" s="195" t="s">
        <v>318</v>
      </c>
      <c r="C158" s="196" t="s">
        <v>319</v>
      </c>
      <c r="D158" s="197" t="s">
        <v>12</v>
      </c>
      <c r="E158" s="200">
        <f>44+44+140</f>
        <v>228</v>
      </c>
      <c r="F158" s="272">
        <v>142.38</v>
      </c>
      <c r="G158" s="292">
        <f>ROUND(E158*F158,2)</f>
        <v>32462.64</v>
      </c>
      <c r="H158" s="205" t="s">
        <v>321</v>
      </c>
      <c r="I158" s="206"/>
    </row>
    <row r="159" spans="1:9" s="47" customFormat="1" ht="156">
      <c r="A159" s="259" t="s">
        <v>580</v>
      </c>
      <c r="B159" s="252" t="s">
        <v>324</v>
      </c>
      <c r="C159" s="196" t="s">
        <v>325</v>
      </c>
      <c r="D159" s="197" t="s">
        <v>12</v>
      </c>
      <c r="E159" s="200">
        <f>44+44</f>
        <v>88</v>
      </c>
      <c r="F159" s="272">
        <v>138.97</v>
      </c>
      <c r="G159" s="292">
        <f>ROUND(E159*F159,2)</f>
        <v>12229.36</v>
      </c>
      <c r="H159" s="205" t="s">
        <v>320</v>
      </c>
      <c r="I159" s="206"/>
    </row>
    <row r="161" spans="1:9" ht="12.75" customHeight="1" thickBot="1">
      <c r="A161" s="60"/>
      <c r="B161" s="60"/>
      <c r="C161" s="60" t="s">
        <v>63</v>
      </c>
      <c r="D161" s="60"/>
      <c r="E161" s="60"/>
      <c r="F161" s="61"/>
      <c r="G161" s="62">
        <f>G156+G147+G142+G136+G108+G90+G86+G68+G45+G12</f>
        <v>599829.9199999999</v>
      </c>
      <c r="H161" s="48"/>
      <c r="I161" s="220"/>
    </row>
    <row r="162" spans="1:9" ht="12.75" customHeight="1" thickBot="1">
      <c r="A162" s="60"/>
      <c r="B162" s="60"/>
      <c r="C162" s="60" t="s">
        <v>90</v>
      </c>
      <c r="D162" s="60"/>
      <c r="E162" s="60"/>
      <c r="F162" s="61"/>
      <c r="G162" s="62">
        <f>G161*0.2223</f>
        <v>133342.19121599998</v>
      </c>
      <c r="H162" s="48"/>
      <c r="I162" s="206"/>
    </row>
    <row r="163" spans="1:9" ht="12.75" customHeight="1" thickBot="1">
      <c r="A163" s="60"/>
      <c r="B163" s="60"/>
      <c r="C163" s="60" t="s">
        <v>91</v>
      </c>
      <c r="D163" s="60"/>
      <c r="E163" s="60"/>
      <c r="F163" s="61"/>
      <c r="G163" s="62">
        <f>G162+G161</f>
        <v>733172.1112159999</v>
      </c>
      <c r="H163" s="48"/>
      <c r="I163" s="206"/>
    </row>
    <row r="164" spans="1:9" ht="12.75" customHeight="1">
      <c r="A164" s="202"/>
      <c r="B164" s="202"/>
      <c r="C164" s="202"/>
      <c r="D164" s="202"/>
      <c r="E164" s="202"/>
      <c r="F164" s="203"/>
      <c r="G164" s="204"/>
      <c r="H164" s="48"/>
      <c r="I164" s="206"/>
    </row>
  </sheetData>
  <sheetProtection selectLockedCells="1" selectUnlockedCells="1"/>
  <mergeCells count="3">
    <mergeCell ref="E6:G6"/>
    <mergeCell ref="A8:G9"/>
    <mergeCell ref="C10:G10"/>
  </mergeCell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 scale="59" r:id="rId2"/>
  <headerFooter alignWithMargins="0">
    <oddHeader>&amp;R&amp;8Página &amp;P de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Maíra de Azevedo Oliveira</dc:creator>
  <cp:keywords/>
  <dc:description/>
  <cp:lastModifiedBy>Maira de Azevedo Oliveira</cp:lastModifiedBy>
  <cp:lastPrinted>2022-09-06T11:24:09Z</cp:lastPrinted>
  <dcterms:modified xsi:type="dcterms:W3CDTF">2022-10-10T19:35:16Z</dcterms:modified>
  <cp:category/>
  <cp:version/>
  <cp:contentType/>
  <cp:contentStatus/>
</cp:coreProperties>
</file>