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235" windowHeight="8955" activeTab="0"/>
  </bookViews>
  <sheets>
    <sheet name="MEMÓRIA DE CÁLCULO" sheetId="1" r:id="rId1"/>
  </sheets>
  <definedNames>
    <definedName name="_xlnm.Print_Area" localSheetId="0">'MEMÓRIA DE CÁLCULO'!$A$1:$I$349</definedName>
    <definedName name="_xlnm.Print_Titles" localSheetId="0">'MEMÓRIA DE CÁLCULO'!$1:$12</definedName>
  </definedNames>
  <calcPr fullCalcOnLoad="1"/>
</workbook>
</file>

<file path=xl/sharedStrings.xml><?xml version="1.0" encoding="utf-8"?>
<sst xmlns="http://schemas.openxmlformats.org/spreadsheetml/2006/main" count="1291" uniqueCount="841">
  <si>
    <t>INTERRUPTOR COM 1 TECLA SIMPLES E TOMADA 2P+T,10A/250V,PADRAO BRASILEIRO,DE EMBUTIR,COM PLACA DE 4"X2".FORNECIMENTO E COLOCACAO</t>
  </si>
  <si>
    <t>SANITÁRIO 01 (02) + SANITÁRIO 02 (02)</t>
  </si>
  <si>
    <t>SANITÁRIO 01 (01) + SANITÁRIO 02 (01)</t>
  </si>
  <si>
    <t>SANITÁRIO 01 (4,80m² (2,00m x 0,80m x 03 unidades)) + SANITÁRIO 02 (4,80m² (2,00m x 0,80m x 03 unidade))</t>
  </si>
  <si>
    <t>SANITÁRIO 01 (0,80m² (1,00m x 0,80m)) + SANITÁRIO 02 (0,80m² (1,00m x 0,80m))</t>
  </si>
  <si>
    <t>REPINTURA INTERNA OU EXTERNA SOBRE MADEIRA COM TINTA A OLEO BRILHANTE OU ACETINADA, SOBRE FUNDO SINTETICO NIVELADOR, INCLUSIVE ESTE, COM LIXAMENTO E DUAS DEMAOS DE ACABAMENTO, NA COR EXISTENTE</t>
  </si>
  <si>
    <t>PINTURA INTERNA OU EXTERNA SOBRE MADEIRA NOVA, COM TINTA A OLEO BRILHANTE OU ACETINADA COM DUAS DEMAOS DE ACABAMENTO SOBRE SUPERFICIE PREPARADA, CONFORME O ITEM 17.017.0100, EXCLUSIVE ESTE PREPARO</t>
  </si>
  <si>
    <t>17.017.0120-B</t>
  </si>
  <si>
    <t>PREPARO DE MADEIRA NOVA, INCLUSIVE LIXAMENTO, LIMPEZA, UMA DEMAO DE VERNIZ ISOLANTE INCOLOR, DUAS DEMAOS DE MASSA PARA MADEIRA, LIXAMENTO E REMOCAO DE PO, E UMA DEMAO DE FUNDO SINTETICO NIVELADOR</t>
  </si>
  <si>
    <t>SANITÁRIO 01 (4,00m² (2,00m x 0,80m x 2.5 X 01 unidade))</t>
  </si>
  <si>
    <t>REPINTURA COM TINTA LATEX SEMIBRILHANTE, FOSCA, OU ACETINADA, CLASSIFICACAO PREMIUM OU STANDARD (NBR 15079), PARA INTERIOR OU EXTERIOR, SOBRE SUPERFICIE EM BOM ESTADO E NA COR EXISTENTE, INCLUSIVE LIMPEZA, LEVE LIXAMENTO COM LIXA FINA, UMA DEMAO DESELADOR E UMA DE ACABAMENTO</t>
  </si>
  <si>
    <t>REVESTIMENTO DE PAREDES COM AZULEJO BRANCO 15X15CM, QUALIDADE EXTRA, ASSENTE CONFORME ITEM 13.025.0058</t>
  </si>
  <si>
    <t>13.026.0015-A</t>
  </si>
  <si>
    <t>15.019.0040-A</t>
  </si>
  <si>
    <t>14.002.0052-A</t>
  </si>
  <si>
    <t>ASSENTAMENTO DE AZULEJOS, PASTILHAS OU LADRILHOS, EM PAREDES, EXCLUSIVE ESTES, COM EMBOCO(PRONTO)EM MASSA UNICA DE CIMENTO E AREIA TERMOTRATADA, ARGAMASSA COLANTE E REJUNTAMENTO COM ARGAMASSA INDUSTRIALIZADA, INCLUSIVE CHAPISCO</t>
  </si>
  <si>
    <t>SANITÁRIO 01 (11) + SANITÁRIO 02 (14)</t>
  </si>
  <si>
    <t>PORTA EXTERNA DE MADEIRA DE LEI, ALMOFADADA, DE 80X210CM, COM MARCO DE 7X3,5CM, EXCLUSIVE FERRAGENS. FORNECIMENTO E COLOCACAO</t>
  </si>
  <si>
    <t xml:space="preserve">MOLDURA DO BASCULANTE SANITÁRIO 01 (0,56m² ((2,00m + 2,00m + 0,80m + 0,80m) x 0,10m de espessura) + MOLDURA DA PORTA SANITÁRIO 02 (0,50m² ((2,10m + 2,10m + 0,80m) x 0,10m de espessura) </t>
  </si>
  <si>
    <t>14.006.0037-A</t>
  </si>
  <si>
    <t>13.025.0058-A</t>
  </si>
  <si>
    <t>SANITÁRIO 01 (20 UNIDADES DE AZULEJO 0,15m x 0,15m) + SANITÁRIO 02 (15 UNIDADES DE AZULEJO 0,15m x 0,15m)</t>
  </si>
  <si>
    <t>PAREDE DIVISORIA PARA SANITARIO EM GRANITO CINZA CORUMBA, COM 3CM DE ESPESSURA, POLIDA NAS DUAS FACES, FIXACAO PISO OU PAREDE, EXCLUSIVE FERRAGENS PARA FIXACAO. FORNECIMENTO E COLOCACAO</t>
  </si>
  <si>
    <t>12.035.0005-A</t>
  </si>
  <si>
    <t>SANITÁRIO 02 ((2,16m²(1,20m X 1,80m)</t>
  </si>
  <si>
    <t>FERRAGENS PARA DIVISORIAS DE MARMORE OU MARMORITE,DE SANITARIOS,CONSTANDO DE FORNECIMENTO SEM COLOCACAO(ESTA INCLUIDA NOFORNECIMENTO E COLOCACAO DA DIVISORIA),DE:-4 CANTONEIRAS DEALUMINIO PARA FIXACAO DA PLACA;-12 PARAFUSOS DE ALUMINIO DE3/4"X5/16" COM ROSCA</t>
  </si>
  <si>
    <t>14.007.0200-A</t>
  </si>
  <si>
    <t>SANITÁRIO 02 (01)</t>
  </si>
  <si>
    <t>SUPORTE PARA LAMPADA FLUORESCENTE.FORNECIMENTO E COLOCACAO</t>
  </si>
  <si>
    <t>18.260.0065-A</t>
  </si>
  <si>
    <t>LAMPADA FLUORESCENTE COMPACTA, DUPLA, DE 18W, 2700°K, REFERENCIA PLC 18W. FORNECIMENTO</t>
  </si>
  <si>
    <t>CAIXILHO FIXO DE MADEIRA DE LEI,PARA VIDRO,COM 3CM DE ESPESSURA,EXCLUSIVE GUARNICAO.FORNECIMENTO E COLOCACAO</t>
  </si>
  <si>
    <t>14.006.0430-A</t>
  </si>
  <si>
    <t>SANITÁRIO 01 (0,80m² (1,00m x 0,80m x 01 unidade))</t>
  </si>
  <si>
    <t>TUBO DE PVC RIGIDO DE 100MM, SOLDAVEL, INCLUSIVE CONEXOES E EMENDAS, EXCLUSIVE ABERTURA E FECHAMENTO DE RASGO. FORNECIMENTOE ASSENTAMENTO</t>
  </si>
  <si>
    <t>15.036.0052-A</t>
  </si>
  <si>
    <t>LIGA O SANITÁRIO 01 AO COLETOR (6,00m)</t>
  </si>
  <si>
    <t>2.01.01</t>
  </si>
  <si>
    <t>2.01.02</t>
  </si>
  <si>
    <t>2.01.03</t>
  </si>
  <si>
    <t>2.01.04</t>
  </si>
  <si>
    <t>2.01.05</t>
  </si>
  <si>
    <t>2.01.06</t>
  </si>
  <si>
    <t>2.01.07</t>
  </si>
  <si>
    <t>2.01.08</t>
  </si>
  <si>
    <t>2.01.09</t>
  </si>
  <si>
    <t>2.01.10</t>
  </si>
  <si>
    <t>2.01.11</t>
  </si>
  <si>
    <t>2.01.12</t>
  </si>
  <si>
    <t>2.01.13</t>
  </si>
  <si>
    <t>2.01.14</t>
  </si>
  <si>
    <t>2.01.15</t>
  </si>
  <si>
    <t>2.01.16</t>
  </si>
  <si>
    <t>2.01.17</t>
  </si>
  <si>
    <t>2.01.18</t>
  </si>
  <si>
    <t>2.01.19</t>
  </si>
  <si>
    <t>2.01.20</t>
  </si>
  <si>
    <t>2.01.21</t>
  </si>
  <si>
    <t>2.01.22</t>
  </si>
  <si>
    <t>2.01.23</t>
  </si>
  <si>
    <t>2.01.24</t>
  </si>
  <si>
    <t>2.01.25</t>
  </si>
  <si>
    <t>2.01.26</t>
  </si>
  <si>
    <t>2.02.01</t>
  </si>
  <si>
    <t>2.02.02</t>
  </si>
  <si>
    <t>2.02.03</t>
  </si>
  <si>
    <t>2.02.04</t>
  </si>
  <si>
    <t>REFORMA DOS SANITÁRIOS 01 E 02</t>
  </si>
  <si>
    <t>REFORMA DA ADMINISTRAÇÃO</t>
  </si>
  <si>
    <t>3.01.01</t>
  </si>
  <si>
    <t>3.01.02</t>
  </si>
  <si>
    <t>3.01.03</t>
  </si>
  <si>
    <t>3.01.04</t>
  </si>
  <si>
    <t>3.01.05</t>
  </si>
  <si>
    <t>3.01.06</t>
  </si>
  <si>
    <t>3.01.07</t>
  </si>
  <si>
    <t>3.01.08</t>
  </si>
  <si>
    <t>3.01.09</t>
  </si>
  <si>
    <t>3.01.10</t>
  </si>
  <si>
    <t>3.01.11</t>
  </si>
  <si>
    <t>3.01.12</t>
  </si>
  <si>
    <t>3.01.13</t>
  </si>
  <si>
    <t>3.01.14</t>
  </si>
  <si>
    <t>3.01.15</t>
  </si>
  <si>
    <t>3.01.16</t>
  </si>
  <si>
    <t>3.01.17</t>
  </si>
  <si>
    <t>3.01.18</t>
  </si>
  <si>
    <t>3.01.19</t>
  </si>
  <si>
    <t>3.01.20</t>
  </si>
  <si>
    <t>21.045.0015-A</t>
  </si>
  <si>
    <t>17.017.0100-A</t>
  </si>
  <si>
    <t>3.02.01</t>
  </si>
  <si>
    <t>3.02.02</t>
  </si>
  <si>
    <t>3.02.03</t>
  </si>
  <si>
    <t>3.02.04</t>
  </si>
  <si>
    <t>REPINTURA COM TINTA LATEX SEMIBRILHANTE, FOSCA, OU ACETINADA, CLASSIFICACAO PREMIUM OU STANDARD (NBR 15079), PARA INTERIOR OU EXTERIOR, SOBRE SUPERFICIE EM BOM ESTADO E NA COR EXISTENTE, INCLUSIVE LIMPEZA, LEVE LIXAMENTO COM LIXA FINA, UMA DEMAO DE SELADOR E UMA DE ACABAMENTO</t>
  </si>
  <si>
    <t>CUBA DE ACO INOXIDAVEL DE 500X400X200MM, EM CHAPA 20.304, VALVULA DE ESCOAMENTO TIPO AMERICANA 1623, SIFAO 1680 1.1/2"X1.1/2", EXCLUSIVE TORNEIRA. FORNECIMENTO E COLOCACAO</t>
  </si>
  <si>
    <t>18.016.0040-A</t>
  </si>
  <si>
    <t>COPA (01)</t>
  </si>
  <si>
    <t>BANCA DE GRANITO CINZA ANDORINHA, COM 3CM, DE ESPESSURA, COM 1 ABERTURA PARA CUBA (EXCLUSIVE CUBA)</t>
  </si>
  <si>
    <t>13359 (ELEM)</t>
  </si>
  <si>
    <t>COPA: 0,66m² (1,20m x 0,55m)</t>
  </si>
  <si>
    <t>MÃO-DE-OBRA DE PEDREIRO, INCLUSIVE ENCARGOS SOCIAIS DESONERADOS</t>
  </si>
  <si>
    <t>TORNEIRA PARA PIA OU TANQUE, 1158 DE 1/2"X18CM APROXIMADAMENTE, EM METAL CROMADO. FORNECIMENTO</t>
  </si>
  <si>
    <t>LAVABO (01)</t>
  </si>
  <si>
    <t>BANCA SECA DE GRANITO CINZA ANDORINHA, COM 2CM DE ESPESSURA E 60CM DE LARGURA</t>
  </si>
  <si>
    <t>SECRETARIA (3,75m)</t>
  </si>
  <si>
    <t>20115 (ELEM)</t>
  </si>
  <si>
    <t>13357 (ELEM)</t>
  </si>
  <si>
    <t>1/2 HORA - REFERENTE A COLOCAÇÃO DA BANCA DA COPA</t>
  </si>
  <si>
    <t>1/2 HORA - REFERENTE A COLOCAÇÃO DA BANCA DA SECRETARIA</t>
  </si>
  <si>
    <t>SALÃO (04) + SECRETARIA (01) + COPA (01) + LAVABO (01)</t>
  </si>
  <si>
    <t>SALÃO (02)</t>
  </si>
  <si>
    <t>14.007.0025-A</t>
  </si>
  <si>
    <t>18.009.0058-A</t>
  </si>
  <si>
    <t>PORTA DE MADEIRA DE LEI EM COMPENSADO DE 70X210X3CM,FOLHEADANAS 2 FACES,ADUELA DE 13X3CM E ALIZARES DE 5X2CM,EXCLUSIVEFERRAGENS.FORNECIMENTO E COLOCACAO</t>
  </si>
  <si>
    <t>SECRETARIA (01)</t>
  </si>
  <si>
    <t>14.006.0012-A</t>
  </si>
  <si>
    <t>SALÃO (02) + SECRETARIA (01)</t>
  </si>
  <si>
    <t>FERRAGENS PARA JANELA DE MADEIRA, DE CORRER, DE 4 FOLHAS, CORRENDO 2, CONSTANDO DE:-4 RODIZIOS DE LATAOCOM ROLAMENTO(6MM), PARA TRILHOS;-6,00M DE TRILHO ALUMINIO, TAMANHO 3,00MX1/4"X1/4";-1 PUXADOR DE PUNHO, TUBULAR, EM LATAO CROMADO</t>
  </si>
  <si>
    <t>FERRAGENS P/PORTA MADEIRA,DE 2 FOLHAS DE ABRIR,DE ENTRADA PRINCIPAL,CONSTANDO DE:-FECHADURA CILINDRO,DELATAO,MONOBLOCO,ACABAMENTO CROMADO,;-ENTRADA CIRCULAR,LATAO,ACABAMENTO CROMADO;-ROSETA CIRCULAR,LATAO,ACAB.CROMADO;-MACANETA TIPO ALAVANCA,LATAO,ACABAMENTO CROMADO;-6 DOBRADICAS 3"X3" LATAO CROMADO,C/PINOS,BOLAS E ANEIS DE LATAO E 2 FECHOS</t>
  </si>
  <si>
    <t>FERRAGENS PARA PORTAS DE MADEIRA, 1 FOLHA, DE ABRIR, PARA SANITARIOS OU CHUVEIROS COLETIVOS, CONSTANDO DE:-FECHO DE SOBREPOR, TIPO "LIVRE-OCUPADO", RETANGULAR, EM ZAMAKOU LATAO, ACABAMENTO CROMADO; -3 DOBRADICAS DE FERRO GALVANIZADO DE 3"X3", COM PINO E BOLAS DE LATAO</t>
  </si>
  <si>
    <t>FERRAGENS P/PORTA DE MADEIRA, DE 1 FOLHA DE ABRIR, DE ENTRADA PRINCIPAL, CONSTANDO DE:-FECHADURA DE CILINDRO, DE LATAO CROMADO;-MACANETA TIPO BOLA, DE LATAO, ACABAMENTO CROMADO;-ESPELHO DE LATAO FUNDIDO OU LAMINADO, FORMA RETANGULAR OU SEMI-ELIPTICA, ACABAMENTO CROMADO;-3 DOBRADICAS3"X3" DE ACO LAMINADO, COM PINO E BOLAS DE FERRO</t>
  </si>
  <si>
    <t>3,04m² - (1,20m x 1,20m) + (2,00m x 0,80m)</t>
  </si>
  <si>
    <t>SECRETARIA (0,70m x 2,10m x 2.5 X 01 unidade)</t>
  </si>
  <si>
    <t xml:space="preserve">PINTURA EXTERNA (70,72m² (27,20m de perímetro x 2,60m de altura)) + PINTURA INTERNA PAREDE (119,86m² (46,10m de perímetro x 2,60m de altura)) + PINTURA INTERNA TETO (40,68m² ((6,50m x 4,35m) + (3,80m x 2,00m) + (1,20m x 2,00m) + (1,20m x 2,00m)) </t>
  </si>
  <si>
    <t>JANELAS: 5,40m² (1,50m x 1,20m x 03 unidades) + BASCULANTES: 0,96m² (0,80m x 0,60m x 02 unidades) + PORTAS: 6,30m² (1,50m x 2,10m x 02 unidades)</t>
  </si>
  <si>
    <t>REFORMA DA GUARITA</t>
  </si>
  <si>
    <t>4.01.01</t>
  </si>
  <si>
    <t>4.01.02</t>
  </si>
  <si>
    <t>4.01.03</t>
  </si>
  <si>
    <t>3.01.21</t>
  </si>
  <si>
    <t>SANITÁRIO 01: 3,85m² (1,50m x 1,50m)+( 2,00m X 0,80m) + SANITÁRIO 02: 4,20m² (1,20m x 1,00m) + (1,50m x 2,00m)</t>
  </si>
  <si>
    <t>SANITÁRIO 01 (8,00m² (2,00m x 0,80m x 2.5 X 02 unidades)) + SANITÁRIO 02 (12,00m² (2,00m x 0,80m x 2.5 X 03 unidades))</t>
  </si>
  <si>
    <t>4.02.01</t>
  </si>
  <si>
    <t>4.02.02</t>
  </si>
  <si>
    <t>4.02.03</t>
  </si>
  <si>
    <t>4.02.04</t>
  </si>
  <si>
    <t>5.01.01</t>
  </si>
  <si>
    <t>5.01.02</t>
  </si>
  <si>
    <t>5.01.03</t>
  </si>
  <si>
    <t>5.02.01</t>
  </si>
  <si>
    <t>5.02.02</t>
  </si>
  <si>
    <t>5.02.03</t>
  </si>
  <si>
    <t>REFORMA DO ABRIGO DA CISTERNA</t>
  </si>
  <si>
    <t>REFORMA DO ABRIGO DA ELEVATÓRIA</t>
  </si>
  <si>
    <t>6.02.01</t>
  </si>
  <si>
    <t>6.02.02</t>
  </si>
  <si>
    <t>6.02.03</t>
  </si>
  <si>
    <t>6.01.01</t>
  </si>
  <si>
    <t>6.01.02</t>
  </si>
  <si>
    <t>9.01.01</t>
  </si>
  <si>
    <t>9.01.02</t>
  </si>
  <si>
    <t>9.02.01</t>
  </si>
  <si>
    <t>9.02.02</t>
  </si>
  <si>
    <t>TOMADA ELETRICA 2P+T,10A/250V,PADRAO BRASILEIRO,DE EMBUTIR,COM PLACA 4"X2".FORNECIMENTO E COLOCACAO.</t>
  </si>
  <si>
    <t>15.019.0050-A</t>
  </si>
  <si>
    <t>FERRAGENS P/PORTA MADEIRA,1 FOLHA DE ABRIR,INTERNA,CONSTANDODE FORNEC.S/COLOC.,DE:-FECHADURA SIMPLES,RETANGULAR ACABAM.CROMADO ACETINADO;-MACANETA TIPO ALAVANCA,ACABAMENTO CROMADOACETINADO;-ROSETA CIRCULAR EM LATAO LAMINADO ACABAMENTO CROMADO ACETINADO;-3 DOBRADICAS DE FERRO GALVANIZ.DE 3"X2.1/2",COM PINO E BOLAS DE LATAO</t>
  </si>
  <si>
    <t>14.007.0057-A</t>
  </si>
  <si>
    <t>FERRAGENS PARA JANELA DE MADEIRA,TIPO GUILHOTINA,CONSTANDO DE FORNEC.S/COLOC.DE:-2 BORBOLETAS DE LATAO OU ZAMAK,ASAS TRIANGULARES VAZADAS,ACABAMENTO CROMADO OU NIQUELADO;-4 CONCHASSIMPLES EM LATAO,FORMA RETANGULAR, FUNDO EM BAIXO RELEVO ESEM FURO,ACABAMENTO CROMADO</t>
  </si>
  <si>
    <t>14.007.0125-A</t>
  </si>
  <si>
    <t>ARRANCAMENTO DE PORTAS, JANELAS E CAIXILHOS DE AR CONDICIONADO OU OUTROS</t>
  </si>
  <si>
    <t>PAREDE DE BLOCOS CERAMICOS VAZADOS(COBOGO), DE 10X10X10CM, ASSENTES COM ARGAMASSA DE CIMENTO E AREIA, NO TRACO 1:4, LEVANDO UM VERGALHAO DE 4,2MM EM CADA JUNTA HORIZONTAL, PRESO NAS EXTREMIDADES A ESTRUTURA OU ALVENARIA EXISTENTE</t>
  </si>
  <si>
    <t>PORTA DE MADEIRA DE LEI COM PAINEL DE VENEZIANA DE 70X100X3CM, 1 FOLHA, DE ABRIR, MARCO SIMPLES DE 7X3CM, EXCLUSIVE FERRAGENS. FORNECIMENTO E COLOCACAO</t>
  </si>
  <si>
    <t>14.006.0127-A</t>
  </si>
  <si>
    <t>09.008.0010-A</t>
  </si>
  <si>
    <t>PREENCHIMENTO COM CONCRETO DE 15MPA EM VAZIOS DE ALVENARIA DE BLOCOS DE CONCRETO 10X20X40CM, EM PAREDES DE 10CM, MEDIDO PELA AREA REAL, EXCLUSIVE ARMACAO E A ALVENARIA</t>
  </si>
  <si>
    <t>1,85m x 1,85m</t>
  </si>
  <si>
    <t>JANELAS (03) + PORTA (01)</t>
  </si>
  <si>
    <t>JANELAS (03)</t>
  </si>
  <si>
    <t>14.006.0270-A</t>
  </si>
  <si>
    <t>05.001.0134-A</t>
  </si>
  <si>
    <t>JANELA DE MADEIRA DE LEI GUILHOTINA DE 120X150X3CM, EM 2 FOLHAS, MARCO DUPLO COM CAIXILHO PARA VIDRO, PRESOS EM BORBOLETAS, EXCLUSIVE FERRAGENS. FORNECIMENTO E COLOCACAO</t>
  </si>
  <si>
    <t>PORTA (01)</t>
  </si>
  <si>
    <t>4.01.04</t>
  </si>
  <si>
    <t>4.01.05</t>
  </si>
  <si>
    <t>4.01.06</t>
  </si>
  <si>
    <t>1,20m X 1,20m</t>
  </si>
  <si>
    <t>4.01.07</t>
  </si>
  <si>
    <t>4.01.08</t>
  </si>
  <si>
    <t>4.01.09</t>
  </si>
  <si>
    <t>4.01.10</t>
  </si>
  <si>
    <t>4.01.11</t>
  </si>
  <si>
    <t>02 UNIDADES</t>
  </si>
  <si>
    <t>01 UNIDADE</t>
  </si>
  <si>
    <t>JANELAS: 13,50m² (1,20m x 1,50m x 2,5 x 3 unidades) + PORTA: 3,68m² (0,70m x 2,10m x 2,5)</t>
  </si>
  <si>
    <t>FORRO (1,85m x 1,85m)</t>
  </si>
  <si>
    <t xml:space="preserve">PINTURA EXTERNA: 22,36m² (8,60m de perímetro x 2,50m de altura) + PINTURA INTERNA PAREDE: 19,24m² (7,40m de perímetro x 2,60m de altura) </t>
  </si>
  <si>
    <t>0,20m x 0,20m x 3</t>
  </si>
  <si>
    <t>PORTA: 3,68m² (0,70m x 2,10m x 2,5)</t>
  </si>
  <si>
    <t>PORTA: 4,20m² (0,80m x 2,10m x 2,5)</t>
  </si>
  <si>
    <t>PINTURA EXTERNA: 27,04m² (10,40m de perímetro x 2,60m de altura) + PINTURA INTERNA PAREDE: 23,00m² (9,20m de perímetro x 2,50m de altura)</t>
  </si>
  <si>
    <t>PINTURA EXTERNA: 18,46m² (7,10m de perímetro x 2,60m de altura) + PINTURA INTERNA PAREDE: 14,75m² (5,90m de perímetro x 2,50m de altura)</t>
  </si>
  <si>
    <t>25,00m de comprimento x 16,00m de largura x 0,20m de profundidade</t>
  </si>
  <si>
    <t>3,10m de comprimento x 0,60m de altura</t>
  </si>
  <si>
    <t>0,20m x 0,40m x 5 unidades</t>
  </si>
  <si>
    <t>(25,00m + 25,00m + 16,00m + 16,00m) x 0,60m de altura x 2 lados</t>
  </si>
  <si>
    <t>CABECEIRA: (5,00m de altura x 16,00 x 1 lado) + LATERAIS: (3,20m de altura x 25,00m de comprimento x 2 lados) + ((2,80m x 1,80m x 4)+((2,80m x 1,80m)/2) x 4)</t>
  </si>
  <si>
    <t>REFORMA DA QUADRA DE AREIA (VÔLEI)</t>
  </si>
  <si>
    <t>REFORMA QUADRA DE FUTEBOL DE AREIA (TRANSFORMAÇÃO PARA CAMPO DE GRAMA SINTÉTICA)</t>
  </si>
  <si>
    <t>20.004.0033-B</t>
  </si>
  <si>
    <t>ATERRO COMPACTADO MECANICAMENTE, EM CAMADAS DE 20CM, INCLUINDO ESPALHAMENTO E IRRIGACAO, MAS SEM O FORNECIMENTO E TRANSPORTE DO MATERIAL</t>
  </si>
  <si>
    <t>08.001.0008-A</t>
  </si>
  <si>
    <t>BASE DE BRITA CORRIDA, INCLUSIVE FORNECIMENTO DOS MATERIAIS, MEDIDA APOS A COMPACTACAO</t>
  </si>
  <si>
    <t>08.035.0001-A</t>
  </si>
  <si>
    <t>(COLCHAO)DE PO-DE-PEDRA, ESPALHADO E COMPRIMIDO MECANICAMENTE, MEDIDA APOS COMPACTACAO</t>
  </si>
  <si>
    <t>04.20.0055 (CATÁLOGO SCO)</t>
  </si>
  <si>
    <t>PISO DE GRAMA SINTETICA, EM ROLO, COM FIOS DE 50MM DE ALTURA, NA COR VERDE, DEMARCACAO DE LINHAS COM GRAMA NA COR BRANCA, SISTEMA DE AMORTECIMENTO COMPOSTO COM AS SEGUINTES CARACTERISTICAS MINIMAS: CAMADA DE AREIA ESPECIAL COM 1CM DE ESPESSURA (20 KG/M2) E GRANULOS DE BORRACHA DE GRANULOMETRIA DE 0,6 A 2MM (9 KG/M2) E MAO DE OBRA ESPECIALIZADA PARA INSTALACAO; EXCLUSIVE BASE ASFALTICA, MURETA PERIMETRAL PARA CONTENCAO DA BASE, CANALETA PERIMETRAL PARA COLETA E ESCOAMENTO DA AGUA E PREPARO DE TERRENO. FORNECIMENTO E COLOCACAO. (DESONERADO)</t>
  </si>
  <si>
    <t>08.026.0002-A</t>
  </si>
  <si>
    <t>PINTURA DE LIGACAO, DE ACORDO COM AS "INSTRUCOES PARA EXECUCAO", DO DER-RJ</t>
  </si>
  <si>
    <t>ALVENARIA DE BLOCOS DE CONCRETO 10X20X40CM,ASSENTES COM ARGAMASSA DE CIMENTO,CAL HIDRATADA ADITIVADA E AREIA,NO TRACO 1:1:10,EM PAREDES DE 0,10M DE ESPESSURA,DE SUPERFICIE CORRIDA,ATE 3,00M DE ALTURA E MEDIDA PELA AREA REAL</t>
  </si>
  <si>
    <t>16.034.0006-A</t>
  </si>
  <si>
    <t>IMPERMEABILIZACAO PAREDES DE ALVENARIA DE TIJOLOS CERAMICOS OU BLOCOS CONCRETO,C/FUROS,S/A PRESENCA DE CAL,C/ABSORCAO UMIDADE(UMIDADE ASCENDENTE)APLICANDO DUAS DEMAOS CRUZADAS CIMENTO POLIMERICO,ATENDENDO ABNT NBR 11905,CONSUMO 1KG/M2/DEMAO,DESDE PISO ATE ALTURA 1 A 1,2M</t>
  </si>
  <si>
    <t>REMOCAO DE PAVIMENTACAO DE LAJOTAS DE CONCRETO, ALTAMENTE VIBRADO, INTERTRAVADO, PRE-FABRICADO</t>
  </si>
  <si>
    <t>05.105.0042-A</t>
  </si>
  <si>
    <t>MAO-DE-OBRA DE CALCETEIRO, INCLUSIVE ENCARGOS SOCIAIS</t>
  </si>
  <si>
    <t>TELA DE ARAME GALVANIZADO Nº12 PLASTIFICADA,MALHA QUADRADA DE 7,5X7,5CM.FORNECIMENTO E COLOCACAO</t>
  </si>
  <si>
    <t>18.200.0020-A</t>
  </si>
  <si>
    <t>BALIZA DE FUTEBOL,TAMANHO OFICIAL, EM TUBOS DE FERRO GALVANIZADO (EXTERNA E INTERNAMENTE) DE 4" E ESPESSURA DA PAREDE DE 1/8",COM PINTURA DE BASE E 2 DEMAOS DE ACABAMENTO. FORNECIMENTO E COLOCACAO, INCL. REDE</t>
  </si>
  <si>
    <t>UNID.</t>
  </si>
  <si>
    <t>(02 unidades)</t>
  </si>
  <si>
    <t>18.200.0005-A</t>
  </si>
  <si>
    <t>REDE DE NYLON PARA FUTEBOL DE SALAO.FORNECIMENTO</t>
  </si>
  <si>
    <t>PAR</t>
  </si>
  <si>
    <t xml:space="preserve">(largura: 25,00m) x ((comprimento: 41,34m=media dos comprimentos (41,22m+41,46m / 2)) x (altura: 0,30m) </t>
  </si>
  <si>
    <t xml:space="preserve">(largura: 25,00m) x ((comprimento: 41,34m=media dos comprimentos (41,22m+41,46m / 2)) x (altura: 0,10m) </t>
  </si>
  <si>
    <t xml:space="preserve">(largura: 25,00m) x ((comprimento: 41,34m=media dos comprimentos (41,22m+41,46m / 2)) x (altura: 0,03m) </t>
  </si>
  <si>
    <t>((volume de brita: item 8.01.02 x peso específico da brita: 1,5t/m3 x fator de conversão de volume: 1) + (volume do po-de-pedra: item 8.01.03 x peso específico da brita: 1,5t/m3 x fator de conversão de volume: 1)) x distância percorrida no transporte</t>
  </si>
  <si>
    <t>(25,00m de comprimento x 41,34m de largura) - ((canaletas(41,34m de comprimento x 0,30m de largura x 2 lados))</t>
  </si>
  <si>
    <t>(área equivalente ao item 8.01.05)</t>
  </si>
  <si>
    <t>(comprimento: 41,34m x 2 lados)</t>
  </si>
  <si>
    <t>CABECEIRAS: (25,00m de comprimento x 5,00m de altura x 2 lados) + LATERAIS: (41,34m de comprimento x 3,20m de altura x 2 lados) + CONTRAVENTAMENTO: (3,20m de comprimento x 1,80m de altura x 4 unidades) + ((6,40m de comprimento x 1,80m de altura) / 2) x 4 lados)</t>
  </si>
  <si>
    <t>(01 unidade em cada vala x 02 lados)</t>
  </si>
  <si>
    <t>CAIXA DE INSPECAO/CAIXA PARA AGUAS PLUVIAIS, DE CONCRETO PRE-MOLDADO, CONSTANDO DE CIRCULO DE FUNDO, 2 ANEIS SUPERPOSTOS, DE40MM DE ESPESSURA E 600MM DE DIAMETRO INTERNO, SENDO 1 ANELINFERIOR(ENTRADA E SAIDA)DE 300MM, 1 DE 75MM DE ALTURA, PERFAZENDO 475MM DE ALTURA TOTAL, EXCLUSIVE TAMPAO DE FERRO FUNDIDO E ESCAVACAO. FORNECIMENTO E COLOCACAO</t>
  </si>
  <si>
    <t>TAMPAO COMPLETO DE FºFº, ARTICULADO, DE 0,60M DE DIAMETRO, PADRAO PMRJ(RIOLUZ), TIPO LEVE, CARGA MINIMA PARA TESTE 6T, RESISTENCIA MAXIMA DE ROMPIMENTO 7,5T E FLECHA RESIDUAL MAXIMA DE 17MM, ASSENTADO COM ARGAMASSA DE CIMENTO E AREIA, NO TRACO 1:4 EM VOLUME. FORNECIMENTO E ASSENTAMENTO</t>
  </si>
  <si>
    <t>(01 unidade em cada caixa de inspeção = item 8.01.17)</t>
  </si>
  <si>
    <t>(01 unidade para cada vala x 02 lados)</t>
  </si>
  <si>
    <t>lado 01: 30,00m de comprimento + lado 02: 24,00m de comprimento</t>
  </si>
  <si>
    <t>(comprimento:41,34m x largura da vala:0,50m x altura:0,30 x 2 lados)</t>
  </si>
  <si>
    <t>(comprimento:41,34m x largura:0,30m x espessura :0,07 x 2 lados)</t>
  </si>
  <si>
    <t>ESCAVACAO MANUAL DE VALA/CAVA EM MATERIAL DE 1ª CATEGORIA (A(AREIA,ARGILA OU PICARRA), ATE 1,50M DE PROFUNDIDADE, EXCLUSIVE ESCORAMENTO E ESGOTAMENTO</t>
  </si>
  <si>
    <t>BARRA DE ACO CA-50, COM SALIENCIA OU MOSSA, COEFICIENTE DE CONFORMACAO SUPERFICIAL MINIMO (ADERENCIA) IGUAL A 1,5, DIAMETRODE 6,3MM, DESTINADA A ARMADURA DE CONCRETO ARMADO, 10% DE PERDAS DE PONTAS E ARAME 18. FORNECIMENTO</t>
  </si>
  <si>
    <t>(02 varas de ferro x comprimento do bloco:41,34m x 2 lados x peso do vergalhão(kg/m))</t>
  </si>
  <si>
    <t>CONCRETO DOSADO RACIONALMENTE PARA UMA RESISTENCIA CARACTERISTICA A COMPRESSAO DE 10MPA, INCLUSIVE MATERIAIS, TRANSPORTE, PREPARO COM BETONEIRA, LANCAMENTO E ADENSAMENTO (BASE DA CALHA)</t>
  </si>
  <si>
    <t>(comprimento do bloco:41,34m x largura para enchimento:0,075m x altura para enchimento:0,15m x 2 lados)</t>
  </si>
  <si>
    <t>15.004.0181-A</t>
  </si>
  <si>
    <t>RALO SIFONADO DE PVC(100X100)X50MM, EM PAVIMENTO TERREO, COM TAMPA CEGA, COM 1 ENTRADA DE 40MM E SAIDA DE 50MM, INCLUSIVE LIGACAO DE 50MM DE PVC ATE A CAIXA DE INSPECAO, CONSIDERANDO ADISTANCIA DO CENTRO DO RALO ATE 2,00M. FORNECIMENTO E INSTALACAO</t>
  </si>
  <si>
    <t>TUBO DE PVC RIGIDO DE 100MM,SOLDAVEL,INCLUSIVE CONEXOES E EMENDAS,EXCLUSIVE ABERTURA E FECHAMENTO DE RASGO.FORNECIMENTOE ASSENTAMENTO</t>
  </si>
  <si>
    <t>06.016.0040-A</t>
  </si>
  <si>
    <t>15.002.0210-A</t>
  </si>
  <si>
    <t>15.036.0050-A</t>
  </si>
  <si>
    <t>TUBO DE PVC RIGIDO DE 50MM, SOLDAVEL, INCLUSIVE CONEXOES E EMENDAS, EXCLUSIVE ABERTURA E FECHAMENTO DE RASGO. FORNECIMENTO E ASSENTAMENTO</t>
  </si>
  <si>
    <t>ligação dos ralos as caixas de inspeção: 2,00m x 2 lados</t>
  </si>
  <si>
    <t>lado 01: (30,00m de comprimento x 0,40m de largura) + lado 02: (24,00m de comprimento x 0,40m de largura)</t>
  </si>
  <si>
    <t>12.005.0100-A</t>
  </si>
  <si>
    <t xml:space="preserve">área de impermeabilização da calha: (0,70m de largura do perímetro da calha x 41,34m de extensão x 2 lados) </t>
  </si>
  <si>
    <t>CALHA: (41,34m de comprimento x 0,20m de altura do bloco x 2 lados) + MURETA QUE DIVIDE AS QUADRAS: (15,60m de comprimento x 0,60m de altura) + MURETA ATRÁS DO GOL: ((3,10m de comprimento x 0,60m de altura) + (3,10m de comprimento x 0,20m de altura))</t>
  </si>
  <si>
    <t>0,20m x 0,40m x 3 unidades</t>
  </si>
  <si>
    <t>ESCAVACAO MANUAL DE VALA/CAVA EM MATERIAL DE 1ª CATEGORIA (AREIA,ARGILA OU PICARRA), ATE 1,50M DE PROFUNDIDADE, EXCLUSIVE ESCORAMENTO E ESGOTAMENTO</t>
  </si>
  <si>
    <t>REATERRO DE VALA/CAVA COMPACTADA A MACO,EM CAMADAS DE 30CM DE ESPESSURA MAXIMA,COM MATERIAL DE BOA QUALIDADE,EXCLUSIVE ESTE</t>
  </si>
  <si>
    <t>CAMINHAO COM CARROCERIA FIXA, NO TOCO, CAPACIDADE DE 7,5T, INCLUSIVE MOTORISTA</t>
  </si>
  <si>
    <t>GUINDAUTO COM CAPACIDADE MAXIMA DE CARGA EM TORNO DE 4T A APROXIMADAMENTE 2,00M E ALCANCE MAXIMO VERTICAL (DO SOLO)A APROXIMADAMENTE 8,00M, ANGULO DE GIRO DE 180º, MONTADO SOBRE CHASSIS DE CAMINHAO, EXCLUSIVE ESTE. SAO CONSIDERADOS DOIS AJUDANTES, EXCLUSIVE OPERADOR QUE E CONSIDERADO O MOTORISTA DO CAMINHAO</t>
  </si>
  <si>
    <t>CINTA DE ACO GALVANIZADO DE 140MM.FORNECIMENTO</t>
  </si>
  <si>
    <t>CINTA DE ACO GALVANIZADO DE 220MM.FORNECIMENTO</t>
  </si>
  <si>
    <t>ELEMENTAR (05400)</t>
  </si>
  <si>
    <t>CRUZETA DE MADEIRA PARA LINHA DE 13,8KV, DE (90X115X2000)MM</t>
  </si>
  <si>
    <t>ELEMENTAR (05401)</t>
  </si>
  <si>
    <t>SELA P/CRUZETA DE MADEIRA</t>
  </si>
  <si>
    <t>ELEMENTAR (05399)</t>
  </si>
  <si>
    <t>MAO-FRANCESA P/CRUZETA DE MADEIRA</t>
  </si>
  <si>
    <t>MAO-DE-OBRA DE ELETRICISTA,INCLUSIVE ENCARGOS SOCIAIS</t>
  </si>
  <si>
    <t>12.006.0010-A</t>
  </si>
  <si>
    <t>80% DO VOLUME ENCONTRADO NO ITEM ESCAVAÇÃO</t>
  </si>
  <si>
    <t>06.069.0110-A</t>
  </si>
  <si>
    <t>POSTES MAIORES: (CIRCUIRO 01: 270,00m de comprimento) + (CIRCUIRO 02: 230,00m de comprimento) + (CIRCUIRO 03: 235,00m de comprimento)</t>
  </si>
  <si>
    <t>DUTO CORRUGADO HELICOIDAL, NA COR PRETA, SINGELO, DE POLIETILENO DE ALTA DENSIDADE(PEAD), P/PROTECAO DE CONDUTORES ELETRICOSEM INSTAL.SUBTERRANEAS, DIAMETRO NOMINAL 2", SENDO O DIAMETRO INTERNO 50,8MM, FORNECIDO C/2 TAMPOES NAS EXTREMIDADES, FITA DE AVISO "PERIGO" C/FIO GUIA DE ACO GALV.REVEST.PVC, NORMA NBR 13897/13898, LANC.DIR.SOLO, INCLUSIVE CONEXOES E KIT VEDACAO</t>
  </si>
  <si>
    <t>CAIXA DE PASSAGEM EM ALVENARIA DE TIJOLO MACICO(7X10X20CM), EM PAREDES DE UMA VEZ (0,20M), DE 0,40X0,40X0,60M, UTILIZANDO ARGAMASSA DE CIMENTO E AREIA, NO TRACO 1:4 EM VOLUME, COM FUNDOEM CONCRETO SIMPLES PROVIDO DE CALHA INTERNA, SENDO AS PAREDES REVESTIDAS INTERNAMENTE COM A MESMA ARGAMASSA, INCLUSIVE TAMPA DE CONCRETO ARMADO, 15MPA, COM ESPESSURA DE 10CM</t>
  </si>
  <si>
    <t>06.014.0060-A</t>
  </si>
  <si>
    <t>CABO DE COBRE COM ISOLAMENTO TERMOPLASTICO, COMPREENDENDO: PREPARO, CORTE E ENFIACAO EM ELETRODUTOS NA BITOLA DE 10MM2, 450/750V. FORNECIMENTO E COLOCACAO</t>
  </si>
  <si>
    <t>POSTE DE CONCRETO, COM SECAO CIRCULAR, RETO, COM 17,00M DE COMPRIMENTO, CONICIDADE REDUZIDA, EXCLUSIVE TRANSPORTE. FORNECIMENTO</t>
  </si>
  <si>
    <t>POSTES MAIORES: (CIRCUIRO 01: 09 unidades) + (CIRCUIRO 02: 09 unidades) + (CIRCUIRO 03: 08 unidades)</t>
  </si>
  <si>
    <t>POSTES MAIORES: (1,00m x 1,00m x 1,70m de profundidade x 26 unidades) + (CIRCUIRO 01: 270,00m de comprimento x 0,20m de largura da vala x 0,60m de profundidade da vala) + (CIRCUIRO 02: 230,00m de comprimento x 0,20m de largura da vala x 0,60m de profundidade da vala) + (CIRCUIRO 03: 235,00m de comprimento x 0,20m de largura da vala x 0,60m de profundidade da vala) + (CAIXAS DE PASSAGEM: 0,80m x 0,80m x 0,60m de profundidade x 26 unidades)</t>
  </si>
  <si>
    <t>21.002.0040-A</t>
  </si>
  <si>
    <t>FIO DE COBRE COM ISOLAMENTO TERMOPLASTICO, ANTICHAMA, COMPREENDENDO: PREPARO, CORTE E ENFIACAO EM ELETRODUTOS, NA BITOLA DE 4MM2, 450/750V. FORNECIMENTO E COLOCACAO</t>
  </si>
  <si>
    <t>POSTES MAIORES: 17,00m de comprimento x 03 fios por poste x 26 postes</t>
  </si>
  <si>
    <t>DISJUNTOR TERMOMAGNETICO, TRIPOLAR, DE 10 A 50A X 250V. FORNECIMENTO E COLOCACAO</t>
  </si>
  <si>
    <t>POSTES MAIORES: (CIRCUIRO 01: 01 unidade) + (CIRCUIRO 02: 01 unidade) + (CIRCUIRO 03: 01 unidade)</t>
  </si>
  <si>
    <t>15.008.0025-A</t>
  </si>
  <si>
    <t>HASTE PARA ATERRAMENTO,DE 5/8"(16MM),COM 2,50M DE COMPRIMENTO.FORNECIMENTO</t>
  </si>
  <si>
    <t>21.015.0230-A</t>
  </si>
  <si>
    <t>03 UNIDADES</t>
  </si>
  <si>
    <t>CONECTOR DE ATERRAMENTO TIPO KC 22H. FORNECIMENTO E INSTALACAO</t>
  </si>
  <si>
    <t>21.028.0015-A</t>
  </si>
  <si>
    <t>ASSENTAMENTO DE POSTE DE CONCRETO, CIRCULAR, RETO DE 17,00M, COM CABECA DE CONCRETO, EXCLUSIVE FORNECIMENTO DO POSTE E DA CABECA</t>
  </si>
  <si>
    <t>21.001.0025-A</t>
  </si>
  <si>
    <t>POSTES DECORATIVOS: (0,50m x 0,50m x 0,40m de profundidade x 70 unidades) + (CIRCUIRO 01: 150,00m de comprimento x 0,20m de largura da vala x 0,60m de profundidade da vala) + (CIRCUIRO 02: 110,00m de comprimento x 0,20m de largura da vala x 0,60m de profundidade da vala) + (CIRCUIRO 03: 165,00m de comprimento x 0,20m de largura da vala x 0,60m de profundidade da vala) + (CAIXAS DE PASSAGEM: 0,80m x 0,80m x 0,60m de profundidade x 9 unidades)</t>
  </si>
  <si>
    <t>15.036.0080-A</t>
  </si>
  <si>
    <t>ELETRODUTO DE PVC ESPIRAL CORRUGADO, DIAMETRO DE 1", INCLUSIVE CONEXOES E EMENDAS. FORNECIMENTO E INSTALACAO</t>
  </si>
  <si>
    <t>POSTES DECORATIVOS: (CIRCUIRO 01: 150,00m de comprimento) + (CIRCUIRO 02: 110,00m de comprimento) + (CIRCUIRO 03: 165,00m de comprimento)</t>
  </si>
  <si>
    <r>
      <t xml:space="preserve">PAVIMENTACAO LAJOTAS CONCRETO, ALTAMENTE VIBRADO, INTERTRAVADO, C/ARTICULACAO VERTICAL, PRE-FABRICADOS, </t>
    </r>
    <r>
      <rPr>
        <b/>
        <sz val="8"/>
        <rFont val="Arial"/>
        <family val="2"/>
      </rPr>
      <t>COLORIDO</t>
    </r>
    <r>
      <rPr>
        <sz val="8"/>
        <rFont val="Arial"/>
        <family val="2"/>
      </rPr>
      <t>, ESP.6CM, RESISTENCIA A COMPRESSAO 35MPA, ASSENTES SOBRE COLCHAO PO-DE-PEDRA, AREIA OU MATERIAL EQUIVALENTE, C/JUNTAS TOMADAS C/ARGAMASSA CIMENTO E AREIA,TRACO 1:4 E/OU PEDRISCO E ASFALTO, EXCL. PREPARO DO TERRENO, C/FORN.DE TODOS OS MAT., BEM COMO A COLOCACAO</t>
    </r>
  </si>
  <si>
    <r>
      <t xml:space="preserve">PAVIMENTACAO LAJOTAS CONCRETO, ALTAMENTE VIBRADO, INTERTRAVADO, C/ARTICULACAO VERTICAL, PRE-FABRICADOS, </t>
    </r>
    <r>
      <rPr>
        <b/>
        <sz val="8"/>
        <rFont val="Arial"/>
        <family val="2"/>
      </rPr>
      <t>COR-NATURAL</t>
    </r>
    <r>
      <rPr>
        <sz val="8"/>
        <rFont val="Arial"/>
        <family val="2"/>
      </rPr>
      <t>, ESP.6CM, RESISTENCIA A COMPRESSAO 35MPA, ASSENTES SOBRE COLCHAO PO-DE-PEDRA, AREIA OU MATERIAL EQUIVALENTE, C/JUNTAS TOMADAS C/ARGAMASSA CIMENTO E AREIA,TRACO 1:4 E/OU C/PEDRISCO E ASFALTO, EXCL.PREPARO TERRENO, C/FORN.DE TODOS OS MAT., BEM COMO A COLOCAC.</t>
    </r>
  </si>
  <si>
    <r>
      <t xml:space="preserve">5% DO SOMATÓRIO DOS CUSTOS REFERENTES A MAO-DE-OBRA (ITENS: 1.12; 1,13 E 1.14 = R$ 89.409,28), </t>
    </r>
    <r>
      <rPr>
        <b/>
        <i/>
        <sz val="8"/>
        <rFont val="Arial"/>
        <family val="2"/>
      </rPr>
      <t>CONFORME CRITÉRIOS INDICADOS PELO CATÁLOGO EMOP</t>
    </r>
  </si>
  <si>
    <t>POSTES DECORATIVOS: (CIRCUIRO 01: 03 unidades) + (CIRCUIRO 02: 03 unidades) + (CIRCUIRO 03: 03 unidades)</t>
  </si>
  <si>
    <t>CABO DE COBRE COM ISOLAMENTO TERMOPLASTICO, COMPREENDENDO: PREPARO, CORTE E ENFIACAO EM ELETRODUTOS, NA BITOLA DE 6MM2, 450/750V. FORNECIMENTO E COLOCACAO</t>
  </si>
  <si>
    <t>FIO DE COBRE COM ISOLAMENTO TERMOPLASTICO, ANTICHAMA, COMPREENDENDO: PREPARO, CORTE E ENFIACAO EM ELETRODUTOS, NA BITOLA DE 2,5MM2, 450/750V. FORNECIMENTO E COLOCACAO</t>
  </si>
  <si>
    <t>15.008.0020-A</t>
  </si>
  <si>
    <t>POSTES DECORATIVOS: 3,50m de comprimento x 02 fios por poste x 70 postes</t>
  </si>
  <si>
    <t>DISJUNTOR TERMOMAGNETICO, BIPOLAR, DE 10 A 50AX250V. FORNECIMENTO E COLOCACAO</t>
  </si>
  <si>
    <t>POSTES DECORATIVOS: (CIRCUIRO 01: 01 unidade) + (CIRCUIRO 02: 01 unidade) + (CIRCUIRO 03: 01 unidade)</t>
  </si>
  <si>
    <t>CAIXA DE PASSAGEM EM ALVENARIA DE TIJOLO MACICO (7X10X20CM), EM PAREDES DE UMA VEZ (0,20M), DE 0,40X0,40X0,60M, UTILIZANDO ARGAMASSA DE CIMENTO E AREIA, NO TRACO 1:4 EM VOLUME, COM FUNDOEM CONCRETO SIMPLES PROVIDO DE CALHA INTERNA, SENDO AS PAREDES REVESTIDAS INTERNAMENTE COM A MESMA ARGAMASSA, INCLUSIVE TAMPA DE CONCRETO ARMADO, 15MPA, COM ESPESSURA DE 10CM</t>
  </si>
  <si>
    <t>QUADRA DE VOLEI: 06 unidades + CAMPO DE FUTEBOL: 06 unidades</t>
  </si>
  <si>
    <t>(LIGAÇÃO DO QUADRO ÀS QUADRAS: 50,00m de comprimento x 0,20m de largura x 0,60m de profundidade) + (QUADRAS DE VOLEI: 65,00m de comprimento x 0,20m de largura da vala x 0,60m de profundidade da vala) + (CAMPO FUTEBOL: 100,00m de comprimento x 0,20m de largura da vala x 0,60m de profundidade da vala) + (CAIXAS DE PASSAGEM: 0,80m x 0,80m x 0,60m de profundidade x 12 unidades)</t>
  </si>
  <si>
    <t xml:space="preserve">(LIGAÇÃO DO QUADRO ÀS QUADRAS: 50,00m de comprimento) + (QUADRAS DE VOLEI: 65,00m de comprimento) + (CAMPO FUTEBOL: 100,00m de comprimento) </t>
  </si>
  <si>
    <t>LIGAÇÃO DO QUADRO ÀS QUADRAS: 50,00m de comprimento x 03 unidades</t>
  </si>
  <si>
    <t>(LIGAÇÃO ENTRE OS POSTES DAS QUADRAS: 165,00m de comprimento x 03 fios) + (SUBIDA DOS POSTES DAS QUADRAS: 10,00 de altura x 3 fios por poste x 8 postes)</t>
  </si>
  <si>
    <t>QUADRA DE VOLEI: 12 unidades + CAMPO DE FUTEBOL: 12 unidades</t>
  </si>
  <si>
    <t>QUADRA DE VOLEI: 01 unidade + CAMPO DE FUTEBOL: 01 unidade</t>
  </si>
  <si>
    <t>PROJETOR PRJ-10, PARA LAMPADA A VAPOR DE SODIO OU MULTIVAPORMETALICO DE 250/400W TUBULAR, EM LIGA DE ALUMINIO FUNDIDO TIPO ASTM-SG-70A OU SAE 323, VISOR DE VIDRO PLANO, INCOLOR, TEMPERADO, RESISTENTE A IMPACTOS E CHOQUE TERMICO, SUPORTE TIPO "U", EM FERRO GALVANIZADO POR IMERSAO A QUENTE, CONFORME DESENHO A4-1188-PD E ESPECIFICACAO EM-RIOLUZ Nº20. FORNECIMENTO</t>
  </si>
  <si>
    <t>15.007.0501-A</t>
  </si>
  <si>
    <t>19.004.0004-C</t>
  </si>
  <si>
    <t>19.004.0081-C</t>
  </si>
  <si>
    <t>21.050.0055-A</t>
  </si>
  <si>
    <t>21.050.0060-A</t>
  </si>
  <si>
    <t>05.105.0013-A</t>
  </si>
  <si>
    <t>POSTE QUADRA DE VOLEI: 4 unidades + POSTE CAMPO DE FUTEBOL: 4 unidades</t>
  </si>
  <si>
    <t>POSTE QUADRA DE VOLEI: 8 unidades + POSTE CAMPO DE FUTEBOL: 8 unidades</t>
  </si>
  <si>
    <t>REFORMA DAS QUADRAS</t>
  </si>
  <si>
    <t>PINTURA DA QUADRA DE AREIA (VÔLEI)</t>
  </si>
  <si>
    <t>PINTURA DA QUADRA DE FUTEBOL</t>
  </si>
  <si>
    <t>(perímetro da circunferência do alambrado: 2 * 3,14 * 0,025 x comprimento: 16,00m x 08 tubos horizontais  - 2 cabeceiras) + (perímetro da circunferência do alambrado: 2 * 3,14 * 0,025 x altura: 5,00m x 12 tubos verticais - 2 cabeceiras) + (perímetro da circunferência do alambrado: 2 * 3,14 * 0,025 x comprimento: 25,00m x 06 tubos horizontais - 2 laterais) + (perímetro da circunferência do alambrado: 2 * 3,14 * 0,025 x altura: 3,20m x 16 tubos verticais - 2 laterais) + (perímetro da circunferência do alambrado: 2 * 3,14 * 0,025 x perímetro da estrutura que une as cabeceiras e laterais: 9,70m x 04 cantos)</t>
  </si>
  <si>
    <t>POSTE VOLEIBOL: 2,50m de altura x 0,40m de perímetro x 02 unidades</t>
  </si>
  <si>
    <t>(perímetro da circunferência do alambrado: 2 * 3,14 * 0,025 x comprimento: 34,00m x 08 tubos horizontais  - 2 cabeceiras) + (perímetro da circunferência do alambrado: 2 * 3,14 * 0,025 x altura: 5,00m x 12 tubos verticais - 2 cabeceiras) + (perímetro da circunferência do alambrado: 2 * 3,14 * 0,025 x comprimento: 41,50m x 06 tubos horizontais - 2 laterais) + (perímetro da circunferência do alambrado: 2 * 3,14 * 0,025 x altura: 3,20m x 28 tubos verticais - 2 laterais) + (perímetro da circunferência do alambrado: 2 * 3,14 * 0,025 x perímetro da estrutura que une as cabeceiras e laterais: 9,70m x 04 cantos)</t>
  </si>
  <si>
    <t>(25,00m + 41,22m + 41,46m) x 0,60m de altura x 2 lados</t>
  </si>
  <si>
    <t>(perímetro da circunferência da baliza: 2 * 3,14 * 0,05 x perímetro da baliza: 14,40m x 02 unidades)</t>
  </si>
  <si>
    <t>ILUMINAÇÃO DAS QUADRAS</t>
  </si>
  <si>
    <t>(previsão de 01 dia de serviço para troca de lâmpadas e e passagem dos fios pelos postes)</t>
  </si>
  <si>
    <t>01 dia de serviço para execução dos itens 7.04.16 ao 7.04.18</t>
  </si>
  <si>
    <t>POSTES MAIORES NOVOS: (CIRCUIRO 01: 08 unidades) + (CIRCUIRO 02: 04 unidades) + (CIRCUIRO 03: 04 unidades)</t>
  </si>
  <si>
    <t>09.006.0030-A</t>
  </si>
  <si>
    <t>ÁREA RETIRADA DO PROJETO, ATRAVÉS DO AUTOCAD</t>
  </si>
  <si>
    <t>BANCO PARA JARDINS COM 14 REGUAS DE MADEIRA DE LEI, SECAO DE 5,5X2,5CM E COMPRIMENTO DE 2,00M, PRESAS COM PARAFUSOS DE PORCAS NOS PES DE FERRO FUNDIDO, ESTES COM 14KG, BARRA DE FERRO AO CENTRO DO ASSENTAMENTO, INCLUSIVE ESPIGAO DE FIXACAO, 4 BASES DE CONCRETO DE 15X15X30CM, E PINTURA NA COR A SER INDICADA</t>
  </si>
  <si>
    <t>76 UNIDADES, CONFORME PROJETO</t>
  </si>
  <si>
    <t>PAPELEIRA PLASTICA P/VIAS E PRACAS PUBLICAS EM POLIETILENO(DIN), CAPACIDADE PARA 50L, MEDINDO(75,50X34,50X43,50)CM. FORNECIMENTO E COLOCACAO</t>
  </si>
  <si>
    <t>01 UNIDADE PARA CADA SUPERPOSTE</t>
  </si>
  <si>
    <t>65 UNIDADES, CONFORME PROJETO</t>
  </si>
  <si>
    <t>INTERTRAVADO CINZA: ÁREA RETIRADA DO PROJETO, ATRAVÉS DO AUTOCAD</t>
  </si>
  <si>
    <t>INTERTRAVADO VERMELHO: ÁREA RETIRADA DO PROJETO, ATRAVÉS DO AUTOCAD</t>
  </si>
  <si>
    <t>ÁREA DO INTERTRAVADOS NA COR CINZA + VERMELHO</t>
  </si>
  <si>
    <t>PAVIMENTAÇÃO COM LAJOTAS DE CONCRETO INTERTRAVADO</t>
  </si>
  <si>
    <t>PAVIMENTAÇÕES</t>
  </si>
  <si>
    <t>CAMADA DE AREIA ESPALHADA MANUALMENTE,MEDIDA APOS A COMPACTACAO</t>
  </si>
  <si>
    <t>ÁREA RETIRADA DO PROJETO, ATRAVÉS DO AUTOCAD: 283,38m2 x 0,30cm de altura</t>
  </si>
  <si>
    <t>PERÍMETRO DA ÁREA DO PLAYGROUND: 81,20m x 1,20m de altura</t>
  </si>
  <si>
    <t>PISTA DE CAMINHADA EM CONCRETO</t>
  </si>
  <si>
    <t>CALÇADA: ÁREA RETIRADA DO PROJETO, ATRAVÉS DO AUTOCAD</t>
  </si>
  <si>
    <t>CALÇADA (COMPLEMENTO - DEMARCAÇÃO DO LIMITE DA PRAÇA)</t>
  </si>
  <si>
    <t>PERÍMETRO DA CALÇADA NOVA (DOIS LADOS): 597,04m x 0,20m de largura</t>
  </si>
  <si>
    <t>9.01.03</t>
  </si>
  <si>
    <t>9.01.04</t>
  </si>
  <si>
    <t>9.01.05</t>
  </si>
  <si>
    <t>9.01.06</t>
  </si>
  <si>
    <t>9.01.07</t>
  </si>
  <si>
    <t>9.01.08</t>
  </si>
  <si>
    <t>9.02.03</t>
  </si>
  <si>
    <t>PINTURA DE PISO CIMENTADO LISO COM TINTA 100% ACRILICA, INCLUSIVE LIXAMENTO, LIMPEZA E TRES DEMAOS DE ACABAMENTO APLICADASA ROLO DE LA, DILUICAO EM AGUA A 20%</t>
  </si>
  <si>
    <t>17.040.0024-A</t>
  </si>
  <si>
    <t>ÁREA RETIRADA DO PROJETO, ATRAVÉS DO AUTOCAD (ÁREA INDICADA NA COR VERMELHA)</t>
  </si>
  <si>
    <t>ÁREA RETIRADA DO PROJETO, ATRAVÉS DO AUTOCAD, EM METRO QUADRADO E CONVERTIDA EM HECTARE</t>
  </si>
  <si>
    <t>9.01.09</t>
  </si>
  <si>
    <t>10.01.02</t>
  </si>
  <si>
    <t>10.01.03</t>
  </si>
  <si>
    <t>10.01.04</t>
  </si>
  <si>
    <t>10.02.01</t>
  </si>
  <si>
    <t>10.01.01</t>
  </si>
  <si>
    <t>11.0</t>
  </si>
  <si>
    <t>11.01</t>
  </si>
  <si>
    <t>8.01.01</t>
  </si>
  <si>
    <t>8.01.02</t>
  </si>
  <si>
    <t>8.01.03</t>
  </si>
  <si>
    <t>8.01.04</t>
  </si>
  <si>
    <t>8.01.05</t>
  </si>
  <si>
    <t>8.01.06</t>
  </si>
  <si>
    <t>PERÍMETRO DA ÁREA DO PLAYGROUND: 81,20m x 1,20m de altura x 02 lados</t>
  </si>
  <si>
    <t>TRECHO ANTIGO-PISTA DE CAMINHADA: 33,20m de comprimento x 2,00m de largura</t>
  </si>
  <si>
    <t>ARRANCAMENTO DE TENTOS OU TRAVESSOES, DE GRANITO OU CONCRETO, INCLUSIVE AFASTAMENTO LATERAL DENTRO DO CANTEIRO DE SERVICOS</t>
  </si>
  <si>
    <t>05.001.0141-A</t>
  </si>
  <si>
    <t>MEDIDA RETIRADA DO PROJETO DE REFORMA, EM AUTOCAD</t>
  </si>
  <si>
    <t>CAMPO DE FUTEBOL À DEMOLIR: 66,50m x 30,60m</t>
  </si>
  <si>
    <t>MEIO-FIO RETO DE CONCRETO SIMPLES FCK=15MPA, PRE-MOLDADO, TIPODER-RJ, MEDINDO 0,15M NA BASE E COM ALTURA DE 0,30M, REJUNTAMENTO COM ARGAMASSA DE CIMENTO E AREIA NO TRACO 1:3,5, COM FORNECIMENTO DE TODOS OS MATERIAIS, ESCAVACAO E REATERRO</t>
  </si>
  <si>
    <t>08.027.0042-A</t>
  </si>
  <si>
    <t>9.01.10</t>
  </si>
  <si>
    <t>08.027.0041-A</t>
  </si>
  <si>
    <t>MEIO-FIO CURVO DE CONCRETO SIMPLES FCK=15MPA, MOLDADO NO LOCAL, TIPO DER-RJ, MEDINDO 0,15M NA BASE E COM ALTURA DE 0,30M, REJUNTAMENTO COM ARGAMASSA DE CIMENTO E AREIA, NO TRACO 1:3,5, COM FORNECIMENTO DE TODOS OS MATERIAIS, ESCAVACAO E REATERRO</t>
  </si>
  <si>
    <t>ATERRO COM MATERIAL DE 1ªCATEGORIA, ESPALHADO POR TRATOR COMPOTENCIA EM TORNO DE 335CV COM LAMINA, EM CAMADAS DE 20CM DEMATERIAL ADENSADO, REGADO POR CAMINHAO TANQUE E COMPACTADO A90% COM ROLO PE DE CARNEIRO CONVENCIONAL, DE 2(DOIS)CILINDROS, REBOCADO POR TRATOR DE PNEUS, INTERVINDO 2(DOIS)SERVENTES, EXCLUSIVE O FORNECIMENTO DA TERRA</t>
  </si>
  <si>
    <t>03.010.0017-A</t>
  </si>
  <si>
    <t>MEDIDA RETIRADA DO PROJETO DE REFORMA, EM AUTOCAD (CANTEIROS E PISTA DE CAMINHADA)</t>
  </si>
  <si>
    <t>MEDIDA RETIRADA DO PROJETO DE REFORMA, EM AUTOCAD (FECHAMENTO DO PERÍMETRO DA PRAÇA)</t>
  </si>
  <si>
    <t>ESPAÇO SAÚDE</t>
  </si>
  <si>
    <t>TESOURA COMPLETA EM MADEIRA SERRADA,PARA VAO DE 9,00M.FORNECIMENTO E COLOCACAO</t>
  </si>
  <si>
    <t>16.001.0075-A</t>
  </si>
  <si>
    <t>MADEIRAMENTO PARA COBERTURA EM QUATRO OU MAIS AGUAS EM TELHAS CERAMICAS,CONSTITUIDO DE CUMEEIRA,TERCAS,RINCOES E ESPIGOES DE 3"X4.1/2",CAIBROS DE 3"X1.1/2",RIPAS DE 1,5X4CM,TUDO EMMADEIRA APARELHADA,SEM TESOURA OU PONTALETE,MEDIDO PELA AREA REAL DO MADEIRAMENTO.FORNECIMENTO E COLOCACAO</t>
  </si>
  <si>
    <t>16.001.0056-A</t>
  </si>
  <si>
    <t>COBERTURA EM TELHA CERAMICA COLONIAL,EXCLUSIVE CUMEEIRA E MADEIRAMENTO.MEDIDA PELA AREA REAL DE COBERTURA.FORNECIMENTO ECOLOCACAO</t>
  </si>
  <si>
    <t>16.002.0010-A</t>
  </si>
  <si>
    <t>12.0</t>
  </si>
  <si>
    <t>12.01</t>
  </si>
  <si>
    <t>12.01.01</t>
  </si>
  <si>
    <t>12.01.02</t>
  </si>
  <si>
    <t>12.01.03</t>
  </si>
  <si>
    <t>12.01.04</t>
  </si>
  <si>
    <t>12.01.05</t>
  </si>
  <si>
    <t>12.01.06</t>
  </si>
  <si>
    <t>SERVIÇOS DIVERÇOS</t>
  </si>
  <si>
    <t>11.01.01</t>
  </si>
  <si>
    <t>11.01.02</t>
  </si>
  <si>
    <t>11.01.03</t>
  </si>
  <si>
    <t>11.02</t>
  </si>
  <si>
    <t>11.02.01</t>
  </si>
  <si>
    <t>9,00m x 16,30m</t>
  </si>
  <si>
    <t>MADEIRAMENTO (9,00m X 16,30m) + PILARES (3,20m de altura x 0,15m de largura x 4 faces x 10 unidades)</t>
  </si>
  <si>
    <t>11.01.04</t>
  </si>
  <si>
    <t>SAPATAS DOS PILARES (0,60m x 0,60m x 0,50m x 10 unidades)</t>
  </si>
  <si>
    <t>SAPATAS DOS PILARES (0,50m x 0,50m x 0,30m x 10 unidades)</t>
  </si>
  <si>
    <t>PISO NOVO: 7,50m x 15,00m</t>
  </si>
  <si>
    <t>PISO NOVO: 7,50m x 15,00m + RECONSTRUÇÃO DO PISO ANTIGO(ÁREA DESCOBERTA): 10,00m x 3,00m</t>
  </si>
  <si>
    <t>ÁREA DA GRAMA X 0,10m de altura</t>
  </si>
  <si>
    <t>35275 (SINAPI)</t>
  </si>
  <si>
    <t>3,20m de altura x 10 unidades</t>
  </si>
  <si>
    <t>58,33</t>
  </si>
  <si>
    <t>VOLUME DA AREIA(85,01 M3) X PESO ESPECÍFIOCO(1,4) X EMPOLAMENTO(1,0) X DISTÂNCIA(60 KM)</t>
  </si>
  <si>
    <t>VOLUME DA AREIA(5386,95 M3) X PESO ESPECÍFIOCO(1,4) X EMPOLAMENTO(1,0) X DISTÂNCIA(60 KM)</t>
  </si>
  <si>
    <t>AREIA PARA A REGIAO DE CAMPOS DOS GOYTACAZES,EXCLUSIVE TRANSPORTE,INCLUSIVE CARGA NO CAMINHAO.FORNECIMENTO</t>
  </si>
  <si>
    <t>20.111.0010-A</t>
  </si>
  <si>
    <t>ÁREA RETIRADA DO PROJETO, ATRAVÉS DO AUTOCAD X 0,40m de altura</t>
  </si>
  <si>
    <t>SOMA DO MEIO-FIO CURVO + MEIO-FIO RETO + CORDÕES DE CONCRETO (493,04 + 99,07 + 1.750,37)</t>
  </si>
  <si>
    <t>ATERRAMENTO DE POSTE DE ACO,INCLUSIVE FORNECIMENTO DOS MATERIAIS</t>
  </si>
  <si>
    <t>21.015.0208-A</t>
  </si>
  <si>
    <t>70 UNIDADES</t>
  </si>
  <si>
    <t xml:space="preserve">ILUMINAÇÃO GERAL </t>
  </si>
  <si>
    <t>INSTALACAO DE PONTO DE LUZ, APARENTE, EQUIVALENTE A 2 VARAS DEELETRODUTO DE PVC RIGIDO DE 3/4", 12,00M DE FIO 2,5MM2, CAIXAS, CONEXOES, LUVAS, CURVA E INTERRUPTOR DE EMBUTIR COM PLACA FOSFORESCENTE</t>
  </si>
  <si>
    <t>15.015.0021-A</t>
  </si>
  <si>
    <t>INSTALACAO DE PONTO DE TOMADA,APARENTE,EQUIVALENTE A 2 VARASDE ELETRODUTO DE PVC RIGIDO DE 3/4",12,00M DE FIO 2,5MM2,CAIXAS,CONEXOES E TOMADA DE EMBUTIR 2P+T,10A,PADRAO BRASILEIRO,COM PLACA FOSFORESCENTE</t>
  </si>
  <si>
    <t>15.015.0251-A</t>
  </si>
  <si>
    <t>8 UNIDADES</t>
  </si>
  <si>
    <t>10 UNIDADES</t>
  </si>
  <si>
    <t>15.020.0010-A</t>
  </si>
  <si>
    <t>97612 (SINAPI)</t>
  </si>
  <si>
    <t>MAO-DE-OBRA DE SERRALHEIRO, INCLUSIVE ENCARGOS SOCIAIS</t>
  </si>
  <si>
    <t>MAO-DE-OBRA DE SERVENTE,INCLUSIVE ENCARGOS SOCIAIS</t>
  </si>
  <si>
    <t>05.105.0003-A</t>
  </si>
  <si>
    <t>05.105.0015-A</t>
  </si>
  <si>
    <t>0,5 HORAS POR METRO X (4,15M NA CABECEIRA + 2,80M NA LATERAL) - APROVEITAMENTO DO MATERIAL RETIRADO DO ANTIGO CAMPO</t>
  </si>
  <si>
    <t>0,12M de espessura X 0,25M de altura X 15,60M de comprimento</t>
  </si>
  <si>
    <t>11.013.0130-A</t>
  </si>
  <si>
    <t>09.005.0009-A</t>
  </si>
  <si>
    <t>1 DIA DE TRABALHO - REASSENTAMENTO DAS LAJOTAS DO ITEM ANTERIOR</t>
  </si>
  <si>
    <t>SERVIÇOS DE REFORMA E AMPLIAÇÃO NA PRAÇA DO MATIAS</t>
  </si>
  <si>
    <t>2,00M X 3,00M</t>
  </si>
  <si>
    <t>MAO-DE-OBRA DE VIGIA,INCLUSIVE ENCARGOS SOCIAIS COM ADICIONAL NOTURNO</t>
  </si>
  <si>
    <t>05.105.0098-A</t>
  </si>
  <si>
    <t>MARCAÇÃO DA ÁREA A SER MODIFICADA, DESCONSIDERANDO A ÁREA ONDE ESTÁ LOCALIZADA AS QUADRAS QUE PERMANECERÃO</t>
  </si>
  <si>
    <t>PROJETO EXECUTIVO DE INSTALACAO ELETRICA PARA URBANIZACAO ACIMA DE 15.000M2, APRESENTADO EM AUTOCAD, INCLUSIVE AS LEGALIZACOES PERTINENTES</t>
  </si>
  <si>
    <t>01.050.0123-A</t>
  </si>
  <si>
    <t>NUCLEO QUADRUPLO P/LUMINARIAS LRJ-01/17/23/24/30/31, ACO DE BAIXO TEOR DE CARBONO SAE 1010/1020 GALVANIZADO A FUSAO, INTERNA E EXTERNAMENTE POR IMERSAO UNICA EM BANHO DE ZINCO, CONFORME NBR-7398 E 7400 DA ABNT, NUCLEO DIAMETRO INTERNO DE 128MM, BRACOS COM DIAMETRO EXTERNO 60,3MM, COMPRIMENTO 160MM, CONFORME DESENHO A2-1913-PD E ESPECIFICACAO EM-RIOLUZ Nº40.FORN.</t>
  </si>
  <si>
    <t>21.023.0075-A</t>
  </si>
  <si>
    <t>21.001.0060-A</t>
  </si>
  <si>
    <t>ASSENTAMENTO DE POSTE RETO, DE ACO DE 3,50 ATE 6,00M, COM ENGASTAMENTO DA PARTE INFERIOR DA COLUNA DIRETAMENTE NO SOLO, EXCLUSIVE FORNECIMENTO DO POSTE</t>
  </si>
  <si>
    <t>POSTE DE ACO, RETO, CONICO CONTINUO, ALTURA DE 3,50M, COM SAPATA E BASE(PADRAO RIO CIDADE CATETE). FORNECIMENTO</t>
  </si>
  <si>
    <t>21.003.0053-A</t>
  </si>
  <si>
    <t>POSTES COM 17,00 METROS</t>
  </si>
  <si>
    <t>8.02.01</t>
  </si>
  <si>
    <t>8.02.02</t>
  </si>
  <si>
    <t>8.02.03</t>
  </si>
  <si>
    <t>POSTES DECORATIVOS</t>
  </si>
  <si>
    <t>NUCLEO SIMPLES P/LUMINARIAS DECORATIVAS LDRJ-07/09, EM ACO DEBAIXO TEOR DE CARBONO SAE 1010/1020 GALVANIZADO A FUSAO, INTERNA E EXTERNAMENTE POR IMERSAO UNICA EM BANHO DE ZINCO, CONFORME NBR-7398 E 7400 DA ABNT, NUCLEO DIAM.INTERNO 68MM, C/PESCCOCO DE 50MM DE ALTURA E DIAMETRO EXTERNO 48MM, CONFORME DESENHO A2-1824-PD E ESPECIFICACAO EM-RIOLUZ Nº40.FORNECIMENTO</t>
  </si>
  <si>
    <t>21.023.0030-A</t>
  </si>
  <si>
    <t>NUCLEO DUPLO P/LUMINARIAS DECORATIVAS LDRJ-07/09, EM ACO DE BAIXO TEOR DE CARBONO SAE 1010/1020 GALVANIZADO A FUSAO, INTERNA E EXTERNAMENTE POR IMERSAO UNICA EM BANHO DE ZINCO, CONFORME NBR-7398/7400 DA ABNT, NUCLEO DIAM.INTERNO 68MM,BRACOS EMFORMA DE "T"NAS DIMENSOES 290X200MM E DIAM. EXTERNO 48MM, CONFORME DESENHO A2-1839-PD E ESPECIFICACAO EM-RIOLUZ Nº40.FORN.</t>
  </si>
  <si>
    <t>21.023.0055-A</t>
  </si>
  <si>
    <t>49 UNIDADES</t>
  </si>
  <si>
    <t>21 UNIDADES</t>
  </si>
  <si>
    <t>LUMINARIA FECHADA, PARA ILUMINACAO DE RUAS, AVENIDAS E PRACAS, NA FORMA OVOIDE, CORPO REFLETOR ESTAMPADO EM CHAPA DE ALUMINIO, REFRATOR PRISMATICO EM VIDRO BORO-SILICATO, PARA LAMPADA:MISTA ATE 500W, VAPOR DE MERCURIO, VAPOR DE SODIO OU VAPOR METALICO ATE 400W, INCLUSIVE 20,00M DE FIO 2,5MM2, EXCLUSIVE LAMPADA E REATOR. FORNECIMENTO E COLOCACAO</t>
  </si>
  <si>
    <t>18.027.0089-A</t>
  </si>
  <si>
    <t>LAMPADA DE VAPOR METALICO OVOIDE DE 400W-220V. FORNECIMENTO E COLOCACAO</t>
  </si>
  <si>
    <t>POSTES NOVOS: 16,00 X 04 LUMINÁRIAS POR POSTE</t>
  </si>
  <si>
    <t>REATOR PARA LAMPADA DE VAPOR METALICO DE 400W,220V, PARA USO EXTERNO. FORNECIMENTO E COLOCACAO</t>
  </si>
  <si>
    <t>18.250.0075-A</t>
  </si>
  <si>
    <t>(POSTES NOVOS: 16,00 X 04 LÂMPADAS POR POSTE) + (POSTES EXISTENTES: 05 LÂMPADAS)</t>
  </si>
  <si>
    <t>LUMINARIA DECORATIVA LDRJ-07 PARA LAMPADA A VAPOR DE SODIO OU MULTIVAPOR METALICO DE 70W, COM EQUIPAMENTO AUXILIAR INTEGRADO, BASE EM ALUMINIO FUNDIDO, COM ALOJAMENTO E SUPORTE PARA EQUIPAMENTO AUXILIAR(REATOR,CAPACITOR,IGNITOR), COM ENCAIXE PARA TUBO COM DIAMETRO DE 48MM, DIFUSOR EM POLIPROPILENO, COM RECEPTACULO E-27, CONFORME DESENHO A3-1965-PD. FORNECIMENTO</t>
  </si>
  <si>
    <t>21.042.0040-A</t>
  </si>
  <si>
    <t>LAMPADA DE MULTIVAPOR METALICO (MVM) DE 70W/220V/E-27, CLARA4000°K, BULBO OVOIDE. FORNECIMENTO</t>
  </si>
  <si>
    <t>21.045.0055-A</t>
  </si>
  <si>
    <t>REATOR INTEGRADO P/LAMPADA VS/MVM 70W, IGNITOR COM PICO DE TENSAO 2,8 A 4KV, FATOR DE POTENCIA MINIMO 0,92,TENSAO ALIMENTACAO 220V, CORRENTE NA LAMPADA 0,98A, TENSAO LAMPADA 90V. EM-RIOLUZ-30. FORNECIMENTO</t>
  </si>
  <si>
    <t>21.046.0045-A</t>
  </si>
  <si>
    <t>(49 POSTES X 01 LUMINÁRIA) = (21 POSTES X 02 LUMINÁRIAS)</t>
  </si>
  <si>
    <t>TAPUME DE VEDACAO OU PROTECAO, EXECUTADO COM TELHAS TRAPEZOIDAIS DE ACO GALVANIZADO, ESPESSURA DE 0,5MM, ESTAS COM 2 VEZESDE UTILIZACAO, INCLUSIVE ENGRADAMENTO DE MADEIRA, UTILIZADO 2VEZES, EXCLUSIVE PINTURA</t>
  </si>
  <si>
    <t>(230,00 METROS LINEARES DA PARTE NOVA + 310,00 METROS LINEARES DO ANTIGO CAMPO DE FUTEBOL) X 2,00 M DE ALTURA</t>
  </si>
  <si>
    <t>02.002.0012-A</t>
  </si>
  <si>
    <t>TRANSPORTE DE CONTAINER,SEGUNDO DESCRICAO DA FAMILIA 02.006,EXCLUSIVE CARGA E DESCARGA(VIDE ITEM 04.013.0015)</t>
  </si>
  <si>
    <t>UNXKM</t>
  </si>
  <si>
    <t>02 UNIDADES X 60 KM</t>
  </si>
  <si>
    <t>CARGA E DESCARGA DE CONTAINER, SEGUNDO DESCRICAO DA FAMILIA 02.006</t>
  </si>
  <si>
    <t>04.020.0122-A</t>
  </si>
  <si>
    <t>TRANSPORTE DE ANDAIME TUBULAR, CONSIDERANDO-SE A AREA DE PROJECAO VERTICAL DO ANDAIME, EXCLUSIVE CARGA, DESCARGA E TEMPO DE ESPERA DO CAMINHAO</t>
  </si>
  <si>
    <t>04.021.0010-A</t>
  </si>
  <si>
    <t>05.005.0014-A</t>
  </si>
  <si>
    <t>PLATAFORMA OU PASSARELA DE MADEIRA DE 1ª, CONSIDERANDO-SE APROVEITAMENTO DA MADEIRA 60 VEZES, EXCLUSIVE ANDAIME OU OUTRO SUPORTE E MOVIMENTACAO</t>
  </si>
  <si>
    <t>1.14</t>
  </si>
  <si>
    <t>1.15</t>
  </si>
  <si>
    <t>1.16</t>
  </si>
  <si>
    <t>(66,62 m de comprimento) x ((4,00m de altura) - (1,5m)) x (2 meses)</t>
  </si>
  <si>
    <t xml:space="preserve">((66,62m de comprimento) x (2,5m de altura) x (2 lados)) + ((25,00m de comprimento) x (4,10m de altura) x (2 lados))  </t>
  </si>
  <si>
    <t>(66,62 m de comprimento) x ((4,00m de altura) - (1,5m)) x (60km)</t>
  </si>
  <si>
    <t xml:space="preserve">(66,62 m de comprimento) x ((4,00m de altura) - (1,5m)) </t>
  </si>
  <si>
    <t xml:space="preserve">(66,62m: comprimento do maior fachadeiro) x (largura de 3 tábuas: 0,90m) </t>
  </si>
  <si>
    <t>04.005.0300-A</t>
  </si>
  <si>
    <t>04.013.0015-A</t>
  </si>
  <si>
    <t>SUB-TOTAL:</t>
  </si>
  <si>
    <t>TOTAL DO ORÇAMENTO:</t>
  </si>
  <si>
    <t>REFORMA</t>
  </si>
  <si>
    <t>CONSTRUÇÃO</t>
  </si>
  <si>
    <t>CUSTOS POR CATEGORIA:</t>
  </si>
  <si>
    <t>1.17</t>
  </si>
  <si>
    <t>UR</t>
  </si>
  <si>
    <t>05.100.0900-A</t>
  </si>
  <si>
    <t>UNIDADE DE REFERENCIA PARA COMPLEMENTO DA ADMINISTRACAO LOCAL, CONSIDERANDO: CONSUMO DE AGUA, TELEFONE, ENERGIA ELETRICA, MATERIAIS DE LIMPEZA E DE ESCRITORIO, COMPUTADORES, LICENCA DE OBRA, MOVEIS E UTENSILIOS, AR CONDICIONADO, BEBEDOURO, ART, RRT, FOTOGRAFIAS, UNIFORMES, DIARIAS, EXAMES MEDICOS ADMISSIONAIS PERIODICOS E DEMISSIONAIS, CURSOS DE CAPACITACAO/TREINAMENTO E DEMAIS ITENS QUE COMPLEMENTEM AS DESPESAS NECESSARIAS, EXCL. DESPESAS COM ALIMENTACAO E TRANSPORTE DE PESSOAL</t>
  </si>
  <si>
    <t>ESPECIES VEGETAIS COM ALTURA DE (2,50 A 3,50)M,TIPO PALMEIRASYAGRUS ROMANZOFFIANA (BABA-DE-BOI/GERIVA),AIPHANES CARYOTIFOLIA (PALMEIRA"SPINE"),LIVISTONIA CHINENSIS (LEQUE DA CHINA/FALSA LATANIA),RHAPIS EXCELSA(PALMEIRA RAFIA),ROYSTONEA OLERACEA (PALMEIRA REAL) OU SIMILAR.FORNECIMENTO</t>
  </si>
  <si>
    <t>01 UNIDADE X 08 MESES</t>
  </si>
  <si>
    <t>12 HORAS POR DIA, DURANTE 240 DIAS</t>
  </si>
  <si>
    <t>176 HORAS POR MÊS, DURANTE 8 MESES</t>
  </si>
  <si>
    <t>16 HORAS POR MÊS, DURANTE 8 MESES</t>
  </si>
  <si>
    <t>PLAYGROUND</t>
  </si>
  <si>
    <t xml:space="preserve">QUIOSQUE 01 : (basculantes: 0,80m X 0,60m X 2,5 X 3 unidades) + (basculantes: 1,50m X 0,80m X 2,5 X 2 unidades) + (porta: 0,60m X 2,10m X 2,5 X 1 unidade) + (porta: 0,80m X 2,10m X 2,5 X 1 unidade) + QUIOSQUE 02 : (basculantes: 0,80m X 0,60m X 2,5 X 3 unidades) + (basculantes: 1,50m X 0,80m X 2,5 X 2 unidades) + (porta: 0,60m X 2,10m X 2,5 X 1 unidade) + (porta: 0,80m X 2,10m X 2,5 X 1 unidade) </t>
  </si>
  <si>
    <t>PINTURA DOS QUIOSQUES</t>
  </si>
  <si>
    <t xml:space="preserve">QUIOSQUE 01 : (porta enrolar: 2,50m X 1,00m X 2,5 X 2 unidades) + (porta de enrolar: 2,20m X 1,00m X 2,5 X 3 unidades) + (porta de enrolar: 1,20m X 1,00m X 2,5 X 1 unidade) + QUIOSQUE 02 : (porta enrolar: 2,50m X 1,00m X 2,5 X 2 unidades) + (porta de enrolar: 2,20m X 1,00m X 2,5 X 3 unidades) + (porta de enrolar: 1,20m X 1,00m X 2,5 X 1 unidade)  </t>
  </si>
  <si>
    <t>8.03</t>
  </si>
  <si>
    <t>8.03.01</t>
  </si>
  <si>
    <t>8.03.02</t>
  </si>
  <si>
    <t>8.03.03</t>
  </si>
  <si>
    <t>8.03.04</t>
  </si>
  <si>
    <t>8.03.05</t>
  </si>
  <si>
    <t>8.03.06</t>
  </si>
  <si>
    <t>8.03.07</t>
  </si>
  <si>
    <t>8.03.08</t>
  </si>
  <si>
    <t>8.03.09</t>
  </si>
  <si>
    <t>8.03.10</t>
  </si>
  <si>
    <t>8.03.11</t>
  </si>
  <si>
    <t>8.03.12</t>
  </si>
  <si>
    <t>8.03.13</t>
  </si>
  <si>
    <t>8.03.14</t>
  </si>
  <si>
    <t>8.03.15</t>
  </si>
  <si>
    <t>8.03.16</t>
  </si>
  <si>
    <t>8.03.17</t>
  </si>
  <si>
    <t>8.03.18</t>
  </si>
  <si>
    <t>8.03.19</t>
  </si>
  <si>
    <t>8.03.20</t>
  </si>
  <si>
    <t>8.03.21</t>
  </si>
  <si>
    <t>8.03.22</t>
  </si>
  <si>
    <t>8.03.23</t>
  </si>
  <si>
    <t>8.03.24</t>
  </si>
  <si>
    <t>8.03.25</t>
  </si>
  <si>
    <t>8.04</t>
  </si>
  <si>
    <t>8.04.01</t>
  </si>
  <si>
    <t>8.04.02</t>
  </si>
  <si>
    <t>8.04.03</t>
  </si>
  <si>
    <t>8.05</t>
  </si>
  <si>
    <t>8.05.01</t>
  </si>
  <si>
    <t>8.05.02</t>
  </si>
  <si>
    <t>8.05.03</t>
  </si>
  <si>
    <t>8.05.04</t>
  </si>
  <si>
    <t>8.05.05</t>
  </si>
  <si>
    <t>8.05.06</t>
  </si>
  <si>
    <t>8.05.07</t>
  </si>
  <si>
    <t>8.05.08</t>
  </si>
  <si>
    <t>8.05.09</t>
  </si>
  <si>
    <t>8.05.10</t>
  </si>
  <si>
    <t>8.05.11</t>
  </si>
  <si>
    <t>8.05.12</t>
  </si>
  <si>
    <t>8.05.13</t>
  </si>
  <si>
    <t>8.05.14</t>
  </si>
  <si>
    <t>8.05.15</t>
  </si>
  <si>
    <t>8.05.16</t>
  </si>
  <si>
    <t>8.05.17</t>
  </si>
  <si>
    <t>8.05.18</t>
  </si>
  <si>
    <t>8.05.19</t>
  </si>
  <si>
    <t>8.05.20</t>
  </si>
  <si>
    <t>9.01.11</t>
  </si>
  <si>
    <t>9.01.12</t>
  </si>
  <si>
    <t>9.01.13</t>
  </si>
  <si>
    <t>9.01.14</t>
  </si>
  <si>
    <t>9.01.15</t>
  </si>
  <si>
    <t>9.02.04</t>
  </si>
  <si>
    <t>9.02.05</t>
  </si>
  <si>
    <t>9.02.06</t>
  </si>
  <si>
    <t>9.02.07</t>
  </si>
  <si>
    <t>9.02.08</t>
  </si>
  <si>
    <t>9.02.09</t>
  </si>
  <si>
    <t>9.02.10</t>
  </si>
  <si>
    <t>9.02.11</t>
  </si>
  <si>
    <t>9.02.12</t>
  </si>
  <si>
    <t>9.02.13</t>
  </si>
  <si>
    <t>9.02.14</t>
  </si>
  <si>
    <t>9.02.15</t>
  </si>
  <si>
    <t>9.02.16</t>
  </si>
  <si>
    <t>10.01.05</t>
  </si>
  <si>
    <t>10.01.06</t>
  </si>
  <si>
    <t>10.01.07</t>
  </si>
  <si>
    <t>10.01.08</t>
  </si>
  <si>
    <t>10.01.09</t>
  </si>
  <si>
    <t>10.01.10</t>
  </si>
  <si>
    <t>10.02.02</t>
  </si>
  <si>
    <t>10.02.03</t>
  </si>
  <si>
    <t>10.03</t>
  </si>
  <si>
    <t>10.03.01</t>
  </si>
  <si>
    <t>10.03.02</t>
  </si>
  <si>
    <t>10.03.03</t>
  </si>
  <si>
    <t>10.04</t>
  </si>
  <si>
    <t>10.04.01</t>
  </si>
  <si>
    <t>10.04.02</t>
  </si>
  <si>
    <t>10.04.03</t>
  </si>
  <si>
    <t>10.05</t>
  </si>
  <si>
    <t>10.05.01</t>
  </si>
  <si>
    <t>10.05.02</t>
  </si>
  <si>
    <t>10.05.03</t>
  </si>
  <si>
    <t>12.01.07</t>
  </si>
  <si>
    <t>12.01.08</t>
  </si>
  <si>
    <t>12.01.09</t>
  </si>
  <si>
    <t>12.01.10</t>
  </si>
  <si>
    <t>12.01.11</t>
  </si>
  <si>
    <t>12.01.12</t>
  </si>
  <si>
    <t>12.01.13</t>
  </si>
  <si>
    <t>12.02</t>
  </si>
  <si>
    <t>12.02.01</t>
  </si>
  <si>
    <t>12.02.02</t>
  </si>
  <si>
    <t>13.0</t>
  </si>
  <si>
    <t>13.01</t>
  </si>
  <si>
    <t>13.01.01</t>
  </si>
  <si>
    <t>13.01.02</t>
  </si>
  <si>
    <t>13.01.03</t>
  </si>
  <si>
    <t>13.01.04</t>
  </si>
  <si>
    <t>13.01.05</t>
  </si>
  <si>
    <t>13.01.06</t>
  </si>
  <si>
    <t>SANITÁRIO 01: PISO (58,10m² ((4,00m x 10,15m) + (3,50m x 5,00m)) + SANITÁRIO 02: PISO (58,10m² ((4,00m x 10,15m) + (3,50m x 5,00m))</t>
  </si>
  <si>
    <t xml:space="preserve">SANITÁRIO 01: PAREDE (62,55m² (41,70m de perímetro x 1,50m de altura)) + SANITÁRIO 02: PAREDE (62,55m² (41,70m de perímetro x 1,50m de altura)) </t>
  </si>
  <si>
    <t>SANITÁRIO 01: PINTURA EXTERNA (91,25m² (36,50m de perímetro x 2,50m de altura)) + PINTURA INTERNA PAREDE (37,53m² (41,70m de perímetro x 0,90m de altura)) + PINTURA INTERNA TETO (58,10m² ((4,00m x 10,15m) + (3,50m x 5,00m)) + SANITÁRIO 02: PINTURA EXTERNA (91,25m² (36,50m de perímetro x 2,50m de altura)) + PINTURA INTERNA PAREDE (37,53m² (41,70m de perímetro x 0,90m de altura)) + PINTURA INTERNA TETO (58,10m² ((4,00m x 10,15m) + (3,50m x 5,00m))</t>
  </si>
  <si>
    <t xml:space="preserve">SALÃO: 28,28m² (4,35m x 6,50m) + SECRETARIA: 7,50m² (2,00m x 3,75m) + COPA: 2,58m² (1,20m x 2,15m) + LAVABO: 2,50m² (1,25m x 2,00m) </t>
  </si>
  <si>
    <t xml:space="preserve">COPA: 0,945m² (2,10m x 0,45m) + LAVABO: 0,585m² (1,30m x 0,45m) </t>
  </si>
  <si>
    <t>SALÃO: JANELAS (9,00m² (1,50m x 1,20m x 2.5 X 02 unidades)) + PORTAS (15,75m² (1,50m x 2,10m x 2.5 x 02 unidades)) + SECRETARIA: JANELA (4,50m² (1,50m x 1,20m x 2.5 X 01 unidade)) + COPA: BASCULANTE (1,20m² (0,80m x 0,60m x 2.5 X 01 unidade)) + LAVABO: BASCULANTE (1,20m² (0,80m x 0,60m x 2.5 X 01 unidade))</t>
  </si>
  <si>
    <t xml:space="preserve">PINTURA EXTERNA - QUIOSQUE 01 : (14,15m de comprimento x 2,40m de altura) + (15,25m de comprimento x 1,00m de altura) + QUIOSQUE 02 : (14,15m de comprimento x 2,40m de altura) + (15,25m de comprimento x 1,00m de altura) </t>
  </si>
  <si>
    <t>4.01.12</t>
  </si>
  <si>
    <t xml:space="preserve">JANELAS: 5,40m² (1,50m x 1,20m x 03 unidades) </t>
  </si>
  <si>
    <t>10.01.11</t>
  </si>
  <si>
    <t>05.001.0147-A</t>
  </si>
  <si>
    <t>ARRANCAMENTO DE GRADES, GRADIS, ALAMBRADOS, CERCAS E PORTOES</t>
  </si>
  <si>
    <t>ALAMBRADO RESTANTE DO CAMPO DE FUTEBOL: (23,00m x 5,00m) + (22,40m x 3,20m)</t>
  </si>
  <si>
    <t>Item</t>
  </si>
  <si>
    <t>Descrição</t>
  </si>
  <si>
    <t>Unidade</t>
  </si>
  <si>
    <t>Quantidade</t>
  </si>
  <si>
    <t>$ Unitário</t>
  </si>
  <si>
    <t>$  Parcial</t>
  </si>
  <si>
    <t>M2</t>
  </si>
  <si>
    <t>UN</t>
  </si>
  <si>
    <t>1.04</t>
  </si>
  <si>
    <t>1.05</t>
  </si>
  <si>
    <t>M2XMÊS</t>
  </si>
  <si>
    <t>M2XKM</t>
  </si>
  <si>
    <t>1.0</t>
  </si>
  <si>
    <t>1.01</t>
  </si>
  <si>
    <t>1.02</t>
  </si>
  <si>
    <t>1.03</t>
  </si>
  <si>
    <t>2.0</t>
  </si>
  <si>
    <t>3.0</t>
  </si>
  <si>
    <t>4.0</t>
  </si>
  <si>
    <t>5.0</t>
  </si>
  <si>
    <t>M</t>
  </si>
  <si>
    <t>CARGA E DESCARGA MANUAL DE ANDAIME TUBULAR, INCLUSIVE TEMPO DE ESPERA DO CAMINHAO, CONSIDERANDO-SE A AREA DE PROJECAO VERTICAL</t>
  </si>
  <si>
    <t>SERVIÇOS PRELIMINARES E DIVERSOS</t>
  </si>
  <si>
    <t>PINTURA</t>
  </si>
  <si>
    <t>REVESTIMENTO EXTERNO, DE UMA VEZ, COM ARGAMASSA DE CIMENTO, SAIBRO MACIO E AREIA FINA, NO TRACO 1:3:3, COM ESPESSURA DE 2,5CM, INCLUSIVE CHAPISCO DE CIMENTO E AREIA, NO TRACO 1:3, COM ESPESSURA DE 9MM</t>
  </si>
  <si>
    <t>1.06</t>
  </si>
  <si>
    <t>1.07</t>
  </si>
  <si>
    <t>PLACA DE IDENTIFICACAO DE OBRA PUBLICA, INCLUSIVE PINTURA E SUPORTES DE MADEIRA. FORNECIMENTO E COLOCACAO</t>
  </si>
  <si>
    <t>ALUGUEL DE ANDAIME COM ELEMENTOS TUBULARES (FACHADEIRO) SOBRE SAPATAS FIXAS, CONSIDERANDO-SE A AREA DA PROJECAO VERTICAL DO ANDAIME E PAGO PELO TEMPO NECESSARIO A SUA UTILIZACAO, EXCLUSIVE TRANSPORTE DOS ELEMENTOS DO ANDAIME ATE A OBRA, PLATAFORMA OU PASSARELA DE PINHO, MONTAGEM E DESMONTAGEM DOS ANDAIMES</t>
  </si>
  <si>
    <t>1.08</t>
  </si>
  <si>
    <t>02.020.0001-A</t>
  </si>
  <si>
    <t>05.006.0001-B</t>
  </si>
  <si>
    <t>05.008.0001-A</t>
  </si>
  <si>
    <t>13.002.0011-B</t>
  </si>
  <si>
    <t>2.01</t>
  </si>
  <si>
    <t>3.01</t>
  </si>
  <si>
    <t>3.02</t>
  </si>
  <si>
    <t>4.01</t>
  </si>
  <si>
    <t>4.02</t>
  </si>
  <si>
    <t>KG</t>
  </si>
  <si>
    <t>MEMÓRIA DE CÁLCULO</t>
  </si>
  <si>
    <t>PINTURA INTERNA OU EXTERNA SOBRE FERRO COM TINTA A OLEO BRILHANTE, INCLUSIVE LIXAMENTO, LIMPEZA, UMA DEMAO DE TINTA ANTIOXIDO E DUAS DEMAOS DE ACABAMENTO</t>
  </si>
  <si>
    <t>17.017.0110-A</t>
  </si>
  <si>
    <t>17.017.0300-B</t>
  </si>
  <si>
    <t>5.02</t>
  </si>
  <si>
    <t>M3</t>
  </si>
  <si>
    <t>6.0</t>
  </si>
  <si>
    <t>6.01</t>
  </si>
  <si>
    <t>6.02</t>
  </si>
  <si>
    <t>7.0</t>
  </si>
  <si>
    <t>7.01</t>
  </si>
  <si>
    <t>7.02</t>
  </si>
  <si>
    <t>7.03</t>
  </si>
  <si>
    <t>8.0</t>
  </si>
  <si>
    <t>8.02</t>
  </si>
  <si>
    <t>9.0</t>
  </si>
  <si>
    <t>9.01</t>
  </si>
  <si>
    <t>DEMOLICAO MANUAL DE PISO CIMENTADO E DA RESPECTIVA BASE DE CONCRETO, OU PASSEIO DE CONCRETO, INCLUSIVE AFASTAMENTO LATERAL DENTRO DO CANTEIRO DE SERVICO</t>
  </si>
  <si>
    <t>LIMPEZA DE PAREDES REVESTIDAS DE CERAMICAS OU AZULEJOS</t>
  </si>
  <si>
    <t>LIMPEZA DE PISOS CERAMICOS.</t>
  </si>
  <si>
    <t>COBERTURA EM TELHA CERAMICA PORTUGUESA OU ROMANA, EXCLUSIVE CUMEEIRA E MADEIRAMENTO MEDIDA PELA AREA REAL DE COBERTURA. FORNECIMENTO E COLOCACAO</t>
  </si>
  <si>
    <t>10.0</t>
  </si>
  <si>
    <t>10.01</t>
  </si>
  <si>
    <t>10.02</t>
  </si>
  <si>
    <t>ATERRO COM TERRA PRETA VEGETAL,PARA EXECUCAO DE GRAMADOS</t>
  </si>
  <si>
    <t>18.009.0076-A</t>
  </si>
  <si>
    <t>18.002.0028-A</t>
  </si>
  <si>
    <t>18.013.0127-A</t>
  </si>
  <si>
    <t>18.013.0133-A</t>
  </si>
  <si>
    <t>PINTURA INTERNA OU EXTERNA SOBRE MADEIRA, COM TINTA A OLEO BRILHANTE OU ACETINADA, LIXAMENTO, UMA DEMAO DE VERNIZ ISOLANTE INCOLOR, DUAS DEMAOS DE MASSA PARA MADEIRA, LIXAMENTO E REMOCAO DE PO, UMA DEMAO DE FUNDO SINTETICO NIVELADOR E DUAS DEMAOS DE ACABAMENTO</t>
  </si>
  <si>
    <t>CHUVEIRO DE PLASTICO, BRANCO, COM BRACO DE 1/2" E 1 REGISTRO DE PRESSAO 1416,DE 1/2", COM CANOPLA E VOLANTE EM METAL CROMADO. FORNECIMENTO</t>
  </si>
  <si>
    <t>05.001.0018-A</t>
  </si>
  <si>
    <t>08.020.0008-A</t>
  </si>
  <si>
    <t>18.007.0070-A</t>
  </si>
  <si>
    <t>16.002.0012-A</t>
  </si>
  <si>
    <t>05.001.0385-A</t>
  </si>
  <si>
    <t>05.001.0365-A</t>
  </si>
  <si>
    <t>PILAR DE MADEIRA 15 X 15CM, MACARANDUBA, ANGELIM OU EQUIVALENTE DA REGIAO</t>
  </si>
  <si>
    <t>1.09</t>
  </si>
  <si>
    <t>1.10</t>
  </si>
  <si>
    <t>1.11</t>
  </si>
  <si>
    <t>1.12</t>
  </si>
  <si>
    <t>2.02</t>
  </si>
  <si>
    <t>PORTA DE MADEIRA DE LEI MACICA COM 5 ALMOFADAS, DE 80X210X3,5CM, MARCOS E ALIZARES, EXCLUSIVE FERRAGENS. FORNECIMENTO E COLOCACAO</t>
  </si>
  <si>
    <t>PORTA DE MADEIRA DE LEI MACICA COM 5 ALMOFADAS, DE 70X210X3,5CM, MARCOS E ALIZARES, EXCLUSIVE FERRAGENS. FORNECIMENTO E COLOCACAO</t>
  </si>
  <si>
    <t>14.006.0082-A</t>
  </si>
  <si>
    <t>14.006.0083-A</t>
  </si>
  <si>
    <t>14.007.0150-A</t>
  </si>
  <si>
    <t>VIDRO PLANO TRANSPARENTE, COMUM, DE 4MM DE ESPESSURA. FORNECIMENTO E COLOCACAO</t>
  </si>
  <si>
    <t>14.004.0015-A</t>
  </si>
  <si>
    <t>5.01</t>
  </si>
  <si>
    <t>8.01</t>
  </si>
  <si>
    <t>MONTAGEM E DESMONTAGEM DE ANDAIME COM ELEMENTOS TUBULARES, CONSIDERANDO-SE A AREA VERTICAL RECOBERTA</t>
  </si>
  <si>
    <t>RETIRADA DE GRAMA EM PLACAS</t>
  </si>
  <si>
    <t>1.13</t>
  </si>
  <si>
    <t>TRANSPORTE DE CARGA DE QUALQUER NATUREZA, EXCLUSIVE AS DESPESAS DE CARGA E DESCARGA, TANTO DE ESPERA DO CAMINHAO COMO DO SERVENTE OU EQUIPAMENTO AUXILIAR, A VELOCIDADE MEDIA DE 50KM/H, EM CAMINHAO BASCULANTE A OLEO DIESEL, COM CAPACIDADE UTIL DE12T</t>
  </si>
  <si>
    <t>T X KM</t>
  </si>
  <si>
    <t>04.005.0140-A</t>
  </si>
  <si>
    <t>CONCRETO DOSADO RACIONALMENTE PARA UMA RESISTENCIA CARACTERISTICA A COMPRESSAO DE 10MPA, INCLUSIVE MATERIAIS, TRANSPORTE, PREPARO COM BETONEIRA, LANCAMENTO E ADENSAMENTO (ENCHIMENTO DOS BLOCOS)</t>
  </si>
  <si>
    <t>11.009.0013-A</t>
  </si>
  <si>
    <t>11.003.0001-B</t>
  </si>
  <si>
    <t>CONCRETO ARMADO, FCK=20MPA, INCLUINDO MATERIAIS PARA 1,00M3 DE CONCRETO(IMPORTADO DE USINA)ADENSADO E COLOCADO, 12,00M2 DE AREA MOLDADA, FORMAS CONFORME O ITEM 11.004.0022, 60KG DE ACOCA-50, INCLUSIVE MAO-DE-OBRA PARA CORTE, DOBRAGEM, MONTAGEM E COLOCACAO DAS FORMAS, EXCLUSIVE ESCORAMENTO</t>
  </si>
  <si>
    <t>03.013.0001-B</t>
  </si>
  <si>
    <t>H</t>
  </si>
  <si>
    <t>9.02</t>
  </si>
  <si>
    <t>QUADRO DE DISTRIBUICAO DE ENERGIA PARA DISJUNTORES TERMO-MAGNETICOS UNIPOLARES,DE EMBUTIR,COM PORTA E BARRAMENTOS DE FASE,NEUTRO E TERRA,PARA INSTALACAO DE ATE 12 DISJUNTORES SEM DISPOSITIVO PARA CHAVE GERAL.FORNECIMENTO E COLOCACAO</t>
  </si>
  <si>
    <t>RECEPTACULO DE LOUCA PARA PENDENTE.FORNECIMENTO E COLOCACAO</t>
  </si>
  <si>
    <t>LÂMPADA COMPACTA FLUORESCENTE DE 20 W, BASE E27 - FORNECIMENTO E INSTALACAO</t>
  </si>
  <si>
    <t>Código EMOP</t>
  </si>
  <si>
    <t>ANEXO III</t>
  </si>
  <si>
    <t>02.006.0010-A</t>
  </si>
  <si>
    <t>UNXMES</t>
  </si>
  <si>
    <t>02.006.0020-A</t>
  </si>
  <si>
    <t>05.105.0027-A</t>
  </si>
  <si>
    <t>05.105.0032-A</t>
  </si>
  <si>
    <t>01.018.0002-A</t>
  </si>
  <si>
    <t>01.005.0003-A</t>
  </si>
  <si>
    <t>PREPARO MANUAL DE TERRENO,COMPREENDENDO ACERTO,RASPAGEM EVENTUALMENTE ATE 0.30M DE PROFUNDIDADE E AFASTAMENTO LATERAL DOMATERIAL EXCEDENTE,INCLUSIVE COMPACTACAO MECANICA</t>
  </si>
  <si>
    <t>04.005.0162-A</t>
  </si>
  <si>
    <t>13.370.0015-A</t>
  </si>
  <si>
    <t>06.016.0050-A</t>
  </si>
  <si>
    <t>GRELHA PARA CANALETA DE FºFº,COM(15X50CM) CARGA MINIMA PARATESTE 800KG,RESISTENCIA MAXIMA DE ROMPIMENTO 1000KG E FLECHARESIDUAL MAXIMA 12MM.FORNECIMENTO E ASSENTAMENTO</t>
  </si>
  <si>
    <t>11.003.0050-A</t>
  </si>
  <si>
    <t>09.010.0001-A</t>
  </si>
  <si>
    <t>05.001.0070-A</t>
  </si>
  <si>
    <t>03.001.0001-B</t>
  </si>
  <si>
    <t>05.035.0013-A</t>
  </si>
  <si>
    <t>PISTA DE CAMINHADA COM BASE EM SOLO-CIMENTO</t>
  </si>
  <si>
    <t>09.009.0001-A</t>
  </si>
  <si>
    <t>09.009.0010-A</t>
  </si>
  <si>
    <t>NIVELAMENTO E COMPACTACAO DE AREAS ENSAIBRADAS</t>
  </si>
  <si>
    <t>HA</t>
  </si>
  <si>
    <t>09.020.0080-A</t>
  </si>
  <si>
    <t>17.018.0117-A</t>
  </si>
  <si>
    <t>REPINTURA COM TINTA LATEX SEMIBRILHANTE,FOSCA,OU ACETINADA,CLASSIFICACAO PREMIUM OU STANDARD (NBR 15079),PARA INTERIOR OU EXTERIOR,SOBRE SUPERFICIE EM BOM ESTADO E NA COR EXISTENTE</t>
  </si>
  <si>
    <t>17.017.0301-A</t>
  </si>
  <si>
    <t>REPINTURA INTERNA OU EXTERNA SOBRE FERRO COM TINTA A OLEO BRILHANTE,INCLUSIVE LIXAMENTO LEVE,LIMPEZA,UMA DEMAO DE ANTIOXIDO E UMA DEMAO DE ACABAMENTO NA COR EXISTENTE</t>
  </si>
  <si>
    <t>20.105.0005-A</t>
  </si>
  <si>
    <t>08.020.0020-A</t>
  </si>
  <si>
    <t>SERVIÇOS DIVERSOS</t>
  </si>
  <si>
    <t>14.007.0010-A</t>
  </si>
  <si>
    <t>17.017.0130-A</t>
  </si>
  <si>
    <t>21.042.0115-A</t>
  </si>
  <si>
    <t>15.020.0095-A</t>
  </si>
  <si>
    <t>LAMPADA DE VAPOR METALICO OVOIDE DE 400W-220V.FORNECIMENTO ECOLOCACAO</t>
  </si>
  <si>
    <t>15.008.0095-A</t>
  </si>
  <si>
    <t>15.008.0100-A</t>
  </si>
  <si>
    <t>05.105.0016-A</t>
  </si>
  <si>
    <t>MAO-DE-OBRA DE AJUDANTE,INCLUSIVE ENCARGOS SOCIAIS</t>
  </si>
  <si>
    <t>15.007.0575-A</t>
  </si>
  <si>
    <t>15.007.0600-A</t>
  </si>
  <si>
    <t>PAISAGISMO E MOBILIÁRIO</t>
  </si>
  <si>
    <t>09.001.0020-A</t>
  </si>
  <si>
    <t>09.013.0002-A</t>
  </si>
  <si>
    <t>09.026.0025-A</t>
  </si>
  <si>
    <t>09.003.0076-A</t>
  </si>
  <si>
    <t>ALUGUEL DE CONTAINER TIPO ESCRITORIO, MEDINDO 2,20M LARGURA, 6,20M COMPRIMENTO E 2,50M ALTURA, COMPOSTO DE CHAPAS DE ACO C/NERVURAS TRAPEZOIDAIS, ISOLAMENTO TERMO-ACUSTICO NO FORRO, CHASSIS REFORCADO E PISO EM COMPENSADO NAVAL, INCLUINDO INSTALACOES ELETRICAS, EXCLUSIVE TRANSPORTE (VIDE ITEM 04.005.0300) E CARGA E DESCARGA (VIDE ITEM 04.013.0015)</t>
  </si>
  <si>
    <t>ALUGUEL CONTAINER TIPO SANITARIO-VESTIARIO, MEDINDO 2,20M LARGURA, 6,20M COMPRIMENTO E 2,50M ALTURA, CHAPAS ACO C/NERVURAS TRAPEZOIDAIS, ISOLAMENTO TERMO-ACUSTICO FORRO, CHASSIS REFORCADO E PISO COMPENSADO NAVAL, INCL.INST.ELETRICAS E HIDRO-SANITARIAS, ACESSORIOS, 2 VASOS SANITARIOS, 1 LAVATORIO, 1 MICTORIO E 4 CHUVEIROS, EXCL. TRANSP. CARGA E DESCARGA</t>
  </si>
  <si>
    <t>MAO-DE-OBRA DE FEITOR (ENCARREGADO DE TURMA), INCLUSIVE ENCARGOS SOCIAIS</t>
  </si>
  <si>
    <t>MAO-DE-OBRA DE ENGENHEIRO OU ARQUITETO JR., INCLUSIVE ENCARGOS SOCIAIS</t>
  </si>
  <si>
    <t>LOCACAO DE OBRA COM APARELHO TOPOGRAFICO SOBRE CERCA DE MARCACAO, INCLUSIVE CONSTRUCAO DESTA E SUA PRE-LOCACAO E O FORNECIMENTO DO MATERIAL E TENDO POR MEDICAO O PERIMETRO A CONSTRUIR</t>
  </si>
  <si>
    <t>PREPARO MANUAL DE TERRENO, COMPREENDENDO ACERTO, RASPAGEM EVENTUALMENTE ATE 0.30M DE PROFUNDIDADE E AFASTAMENTO LATERAL DO MATERIAL EXCEDENTE, INCLUSIVE COMPACTACAO MECANICA</t>
  </si>
  <si>
    <t>CORDOES DE CONCRETO SIMPLES, COM SECAO DE 10X25CM, MOLDADOS NO LOCAL, INCLUSIVE ESCAVACAO E REATERRO</t>
  </si>
  <si>
    <t>PATIO DE CONCRETO, NA ESPESSURA DE 10CM, NO TRACO 1:2:3 EM VOLUME, FORMANDO QUADROS DE 1,50X1,50M, COM SARRAFOS DE MADEIRA INCORPORADOS, EXCLUSIVE PREPARO DO TERRENO</t>
  </si>
  <si>
    <t>CERCA DE SARRAFOS VERTICAIS DE MADEIRA DE LEI,2X4CM, E 120CM DE ALTURA, PREGADOS SOBRE SARRAFOS HORIZONTAIS DE 5X5CM, A CADA 8CM, CENTRO A CENTRO, APOIADOS SOBRE MONTANTES DE 7,5X7,5CM, ESPACADOS DE 2,00M. FORNECIMENTO E COLOCACAO</t>
  </si>
  <si>
    <t>CAMADA DE AREIA ESPALHADA MANUALMENTE, MEDIDA APOS A COMPACTACAO</t>
  </si>
  <si>
    <t>TRANSPORTE DE CARGA DE QUALQUER NATUREZA, EXCLUSIVE AS DESPESAS DE CARGA E DESCARGA, TANTO DE ESPERA DO CAMINHAO COMO DO SERVENTE OU EQUIPAMENTO AUXILIAR, A VELOCIDADE MEDIA DE 35KM/H, EM CAMINHAO BASCULANTE A OLEO DIESEL, COM CAPACIDADE UTIL DE17T</t>
  </si>
  <si>
    <t>EXECUCAO DE PAVIMENTACAO EM SAIBRO MELHORADO COM CIMENTO, EMCAMADAS DE 8CM DE ESPESSURA, MEDIDA APOS A COMPRESSAO, SENDO A PROPORCAO DE CIMENTO DE 5% EM VOLUME(72KG/M3), INCLUSIVE FORNECIMENTO DOS MATERIAIS</t>
  </si>
  <si>
    <t>TELA DE ARAME GALVANIZADO Nº12 PLASTIFICADA, MALHA QUADRADA DE 7,5X7,5CM. FORNECIMENTO E COLOCACAO</t>
  </si>
  <si>
    <t>PINTURA DE MEIO-FIO COM CAL, COM UMA DEMAO</t>
  </si>
  <si>
    <t>PLANTIO DE GRAMA EM PLACAS TIPO ESMERALDA, INCLUSIVE FORNECIMENTO DA GRAMA E TRANSPORTE, EXCLUSIVE PREPARO DO TERRENO E O MATERIAL PARA ESTE</t>
  </si>
  <si>
    <t>SANITÁRIO 01 (06) + SANITÁRIO 02 (06)</t>
  </si>
  <si>
    <t>SANITÁRIO 01 (08) + SANITÁRIO 02 (08)</t>
  </si>
  <si>
    <t>18.002.0065-A</t>
  </si>
  <si>
    <t>15.003.0405-A</t>
  </si>
  <si>
    <t>SANITÁRIO 01 (01) + SANITÁRIO 02 (03)</t>
  </si>
  <si>
    <t>CUBA DE LOUCA BRANCA, DE SOBREPOR, OVAL, EXCLUSIVE RABICHO, SIFAO E TORNEIRA. FORNECIMENTO</t>
  </si>
  <si>
    <t>SIFAO DE PVC SANFONADO UNIVERSAL. FORNECIMENTO</t>
  </si>
  <si>
    <t>RABICHO PLASTICO, DE 40CM, COM SAIDA DE 1/2". FORNECIMENTO</t>
  </si>
  <si>
    <t>TORNEIRA PARA LAVATORIO, 1193 DE 1/2"X9CM APROXIMADAMENTE, METAL CROMADO. FORNECIMENTO</t>
  </si>
  <si>
    <t>VASO SANITARIO DE LOUCA BRANCA, TIPO POPULAR, COM CAIXA ACOPLADA E MEDIDAS EM TORNO DE 35X65X35CM, INCLUSIVE ASSENTO PLASTICO TIPO POPULAR, BOLSA DE LIGACAO, RABICHO EM PVC E ACESSORIOSDE FIXACAO. FORNECIMENTO</t>
  </si>
  <si>
    <t>ASSENTAMENTO DE VASO SANITARIO SIFONADO(EXCLUSIVE FORNECIMENTO DO APARELHO), INCLUSIVE MATERIAIS NECESSARIOS</t>
  </si>
  <si>
    <t>SANITÁRIO 01 (04) + SANITÁRIO 02 (04)</t>
  </si>
  <si>
    <t>PORTA DE MADEIRA DE LEI EM COMPENSADO DE 60X150X3CM, FOLHEADANAS 2 FACES E MARCO DE 7X3CM, EXCLUSIVE FERRAGENS. FORNECIMENTO E COLOCACAO</t>
  </si>
  <si>
    <t>14.006.0089-A</t>
  </si>
  <si>
    <t>14.007.0075-A</t>
  </si>
  <si>
    <t>PORTINHOLA PARA ALCAPAO, CISTERNA OU CAIXA D'AGUA ELEVADA, EM CHAPA DE FERRO GALVANIZADO Nº16, ATE 0,80M DE ALTURA, COM GUARNICAO E ALCA PARA FECHAMENTO A CADEADO, EXCLUSIVE ESTE. FORNECIMENTO E COLOCACAO</t>
  </si>
</sst>
</file>

<file path=xl/styles.xml><?xml version="1.0" encoding="utf-8"?>
<styleSheet xmlns="http://schemas.openxmlformats.org/spreadsheetml/2006/main">
  <numFmts count="4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00.00"/>
    <numFmt numFmtId="173" formatCode="0.0000"/>
    <numFmt numFmtId="174" formatCode="000.00"/>
    <numFmt numFmtId="175" formatCode="000.0000"/>
    <numFmt numFmtId="176" formatCode="0,000.00"/>
    <numFmt numFmtId="177" formatCode="0,000.0000"/>
    <numFmt numFmtId="178" formatCode="00.00"/>
    <numFmt numFmtId="179" formatCode="00.0000"/>
    <numFmt numFmtId="180" formatCode="&quot;R$&quot;#,##0.00"/>
    <numFmt numFmtId="181" formatCode="0.000"/>
    <numFmt numFmtId="182" formatCode="0,000.000"/>
    <numFmt numFmtId="183" formatCode="00.000"/>
    <numFmt numFmtId="184" formatCode="0.0"/>
    <numFmt numFmtId="185" formatCode="&quot;R$&quot;#,##0.00_);[Red]\(&quot;R$&quot;#,##0.00\)"/>
    <numFmt numFmtId="186" formatCode="&quot;R$ &quot;#,##0.00"/>
    <numFmt numFmtId="187" formatCode="&quot;Sim&quot;;&quot;Sim&quot;;&quot;Não&quot;"/>
    <numFmt numFmtId="188" formatCode="&quot;Verdadeiro&quot;;&quot;Verdadeiro&quot;;&quot;Falso&quot;"/>
    <numFmt numFmtId="189" formatCode="&quot;Ativado&quot;;&quot;Ativado&quot;;&quot;Desativado&quot;"/>
    <numFmt numFmtId="190" formatCode="[$€-2]\ #,##0.00_);[Red]\([$€-2]\ #,##0.00\)"/>
    <numFmt numFmtId="191" formatCode="&quot;&quot;0&quot; dias&quot;"/>
    <numFmt numFmtId="192" formatCode="&quot;R$ &quot;#,##0.0000"/>
    <numFmt numFmtId="193" formatCode="&quot;R$&quot;\ #,##0.00"/>
    <numFmt numFmtId="194" formatCode="hyy"/>
    <numFmt numFmtId="195" formatCode="[$-416]dddd\,\ d&quot; de &quot;mmmm&quot; de &quot;yyyy"/>
    <numFmt numFmtId="196" formatCode="00000"/>
    <numFmt numFmtId="197" formatCode="000000000\-00"/>
    <numFmt numFmtId="198" formatCode="_(* #,##0.00_);_(* \(#,##0.00\);_(* \-??_);_(@_)"/>
    <numFmt numFmtId="199" formatCode="&quot;BENEFICIO E DESPESAS INDIRETAS -B.D.I. (&quot;0.00&quot;%):&quot;"/>
    <numFmt numFmtId="200" formatCode="&quot;R$&quot;\ #,##0.00;[Red]&quot;R$&quot;\ #,##0.00"/>
  </numFmts>
  <fonts count="43">
    <font>
      <sz val="10"/>
      <color indexed="8"/>
      <name val="Arial"/>
      <family val="0"/>
    </font>
    <font>
      <b/>
      <sz val="10"/>
      <color indexed="8"/>
      <name val="Arial"/>
      <family val="0"/>
    </font>
    <font>
      <b/>
      <i/>
      <sz val="10"/>
      <color indexed="8"/>
      <name val="Arial"/>
      <family val="0"/>
    </font>
    <font>
      <b/>
      <i/>
      <u val="single"/>
      <sz val="10"/>
      <color indexed="8"/>
      <name val="Arial"/>
      <family val="0"/>
    </font>
    <font>
      <b/>
      <i/>
      <u val="single"/>
      <strike/>
      <sz val="10"/>
      <color indexed="8"/>
      <name val="Arial"/>
      <family val="2"/>
    </font>
    <font>
      <sz val="8"/>
      <color indexed="8"/>
      <name val="Arial"/>
      <family val="2"/>
    </font>
    <font>
      <sz val="10"/>
      <name val="Arial"/>
      <family val="2"/>
    </font>
    <font>
      <sz val="8"/>
      <name val="Arial Narrow"/>
      <family val="2"/>
    </font>
    <font>
      <b/>
      <sz val="8"/>
      <name val="Arial Narrow"/>
      <family val="2"/>
    </font>
    <font>
      <b/>
      <sz val="10"/>
      <name val="Arial Narrow"/>
      <family val="2"/>
    </font>
    <font>
      <b/>
      <sz val="12"/>
      <name val="Arial Narrow"/>
      <family val="2"/>
    </font>
    <font>
      <b/>
      <sz val="7"/>
      <name val="Arial Narrow"/>
      <family val="2"/>
    </font>
    <font>
      <sz val="10"/>
      <color indexed="63"/>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1"/>
      <name val="Arial"/>
      <family val="2"/>
    </font>
    <font>
      <u val="single"/>
      <sz val="10"/>
      <color indexed="18"/>
      <name val="Arial"/>
      <family val="2"/>
    </font>
    <font>
      <sz val="11"/>
      <color indexed="18"/>
      <name val="Calibri"/>
      <family val="2"/>
    </font>
    <font>
      <sz val="11"/>
      <color indexed="60"/>
      <name val="Calibri"/>
      <family val="2"/>
    </font>
    <font>
      <b/>
      <sz val="11"/>
      <color indexed="63"/>
      <name val="Calibri"/>
      <family val="2"/>
    </font>
    <font>
      <sz val="11"/>
      <color indexed="10"/>
      <name val="Calibri"/>
      <family val="2"/>
    </font>
    <font>
      <i/>
      <sz val="11"/>
      <color indexed="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0"/>
      <color indexed="8"/>
      <name val="Calibri"/>
      <family val="2"/>
    </font>
    <font>
      <sz val="10"/>
      <name val="Calibri"/>
      <family val="2"/>
    </font>
    <font>
      <b/>
      <sz val="10"/>
      <color indexed="8"/>
      <name val="Calibri"/>
      <family val="2"/>
    </font>
    <font>
      <b/>
      <sz val="10"/>
      <color indexed="8"/>
      <name val="Arial Narrow"/>
      <family val="2"/>
    </font>
    <font>
      <sz val="8"/>
      <color indexed="8"/>
      <name val="Arial Narrow"/>
      <family val="2"/>
    </font>
    <font>
      <b/>
      <sz val="7"/>
      <color indexed="8"/>
      <name val="Calibri"/>
      <family val="2"/>
    </font>
    <font>
      <b/>
      <sz val="8"/>
      <name val="Arial"/>
      <family val="2"/>
    </font>
    <font>
      <sz val="8"/>
      <name val="Arial"/>
      <family val="2"/>
    </font>
    <font>
      <b/>
      <u val="single"/>
      <sz val="8"/>
      <name val="Arial"/>
      <family val="2"/>
    </font>
    <font>
      <b/>
      <i/>
      <sz val="8"/>
      <name val="Arial"/>
      <family val="2"/>
    </font>
    <font>
      <b/>
      <sz val="8"/>
      <color indexed="8"/>
      <name val="Arial"/>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1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6"/>
        <bgColor indexed="64"/>
      </patternFill>
    </fill>
    <fill>
      <patternFill patternType="lightGray">
        <fgColor indexed="16"/>
        <bgColor indexed="9"/>
      </patternFill>
    </fill>
  </fills>
  <borders count="25">
    <border>
      <left/>
      <right/>
      <top/>
      <bottom/>
      <diagonal/>
    </border>
    <border>
      <left style="thin">
        <color indexed="12"/>
      </left>
      <right style="thin">
        <color indexed="12"/>
      </right>
      <top style="thin">
        <color indexed="12"/>
      </top>
      <bottom style="thin">
        <color indexed="1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16"/>
      </left>
      <right style="thin">
        <color indexed="16"/>
      </right>
      <top style="thin">
        <color indexed="16"/>
      </top>
      <bottom style="thin">
        <color indexed="16"/>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style="thin"/>
      <bottom style="double"/>
    </border>
    <border>
      <left>
        <color indexed="63"/>
      </left>
      <right>
        <color indexed="63"/>
      </right>
      <top>
        <color indexed="63"/>
      </top>
      <bottom style="thin"/>
    </border>
    <border>
      <left style="thin"/>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hair">
        <color indexed="16"/>
      </top>
      <bottom style="hair">
        <color indexed="16"/>
      </bottom>
    </border>
    <border>
      <left>
        <color indexed="63"/>
      </left>
      <right>
        <color indexed="63"/>
      </right>
      <top style="medium"/>
      <bottom style="thin"/>
    </border>
    <border>
      <left/>
      <right/>
      <top style="thin"/>
      <bottom style="thin"/>
    </border>
    <border>
      <left>
        <color indexed="63"/>
      </left>
      <right>
        <color indexed="63"/>
      </right>
      <top style="hair">
        <color indexed="16"/>
      </top>
      <bottom style="thin"/>
    </border>
    <border>
      <left>
        <color indexed="63"/>
      </left>
      <right>
        <color indexed="63"/>
      </right>
      <top style="hair">
        <color indexed="16"/>
      </top>
      <bottom>
        <color indexed="63"/>
      </bottom>
    </border>
    <border>
      <left>
        <color indexed="63"/>
      </left>
      <right>
        <color indexed="63"/>
      </right>
      <top style="hair">
        <color indexed="16"/>
      </top>
      <bottom style="medium"/>
    </border>
    <border>
      <left>
        <color indexed="63"/>
      </left>
      <right>
        <color indexed="63"/>
      </right>
      <top>
        <color indexed="63"/>
      </top>
      <bottom style="hair">
        <color indexed="16"/>
      </bottom>
    </border>
  </borders>
  <cellStyleXfs count="68">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5" fillId="11" borderId="0" applyNumberFormat="0" applyBorder="0" applyAlignment="0" applyProtection="0"/>
    <xf numFmtId="0" fontId="16" fillId="2" borderId="1" applyNumberFormat="0" applyAlignment="0" applyProtection="0"/>
    <xf numFmtId="0" fontId="17" fillId="12" borderId="2" applyNumberFormat="0" applyAlignment="0" applyProtection="0"/>
    <xf numFmtId="0" fontId="18" fillId="0" borderId="3" applyNumberFormat="0" applyFill="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6" borderId="0" applyNumberFormat="0" applyBorder="0" applyAlignment="0" applyProtection="0"/>
    <xf numFmtId="0" fontId="19" fillId="3" borderId="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7" borderId="0" applyNumberFormat="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3" fillId="8" borderId="0" applyNumberFormat="0" applyBorder="0" applyAlignment="0" applyProtection="0"/>
    <xf numFmtId="0" fontId="6" fillId="0" borderId="0">
      <alignment/>
      <protection/>
    </xf>
    <xf numFmtId="0" fontId="12" fillId="0" borderId="0" applyNumberFormat="0" applyFill="0" applyBorder="0" applyAlignment="0" applyProtection="0"/>
    <xf numFmtId="0" fontId="6" fillId="0" borderId="0">
      <alignment/>
      <protection/>
    </xf>
    <xf numFmtId="0" fontId="6" fillId="0" borderId="0">
      <alignment/>
      <protection/>
    </xf>
    <xf numFmtId="0" fontId="13" fillId="0" borderId="0">
      <alignment/>
      <protection/>
    </xf>
    <xf numFmtId="0" fontId="0" fillId="4" borderId="4" applyNumberFormat="0" applyFont="0" applyAlignment="0" applyProtection="0"/>
    <xf numFmtId="0" fontId="5" fillId="0" borderId="0" applyNumberFormat="0" applyFill="0" applyBorder="0">
      <alignment horizontal="left" vertical="top"/>
      <protection locked="0"/>
    </xf>
    <xf numFmtId="0" fontId="24" fillId="2" borderId="5" applyNumberFormat="0" applyAlignment="0" applyProtection="0"/>
    <xf numFmtId="0" fontId="4" fillId="0" borderId="0" applyFont="0" applyFill="0" applyBorder="0" applyAlignment="0" applyProtection="0"/>
    <xf numFmtId="0" fontId="4"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cellStyleXfs>
  <cellXfs count="151">
    <xf numFmtId="0" fontId="0" fillId="0" borderId="0" xfId="0" applyAlignment="1" applyProtection="1">
      <alignment vertical="top"/>
      <protection locked="0"/>
    </xf>
    <xf numFmtId="0" fontId="7" fillId="18" borderId="0" xfId="0" applyFont="1" applyFill="1" applyAlignment="1">
      <alignment/>
    </xf>
    <xf numFmtId="0" fontId="7" fillId="2" borderId="0" xfId="0" applyFont="1" applyFill="1" applyBorder="1" applyAlignment="1" applyProtection="1">
      <alignment vertical="top"/>
      <protection locked="0"/>
    </xf>
    <xf numFmtId="0" fontId="7" fillId="19" borderId="0" xfId="0" applyFont="1" applyFill="1" applyBorder="1" applyAlignment="1" applyProtection="1">
      <alignment horizontal="center" vertical="center"/>
      <protection locked="0"/>
    </xf>
    <xf numFmtId="0" fontId="7" fillId="19" borderId="0" xfId="0" applyFont="1" applyFill="1" applyBorder="1" applyAlignment="1">
      <alignment/>
    </xf>
    <xf numFmtId="0" fontId="7" fillId="0" borderId="0" xfId="0" applyFont="1" applyFill="1" applyAlignment="1" applyProtection="1">
      <alignment vertical="top"/>
      <protection locked="0"/>
    </xf>
    <xf numFmtId="0" fontId="7" fillId="0" borderId="0" xfId="48" applyFont="1" applyFill="1" applyAlignment="1">
      <alignment vertical="center"/>
    </xf>
    <xf numFmtId="0" fontId="7" fillId="0" borderId="0" xfId="0" applyFont="1" applyFill="1" applyAlignment="1">
      <alignment/>
    </xf>
    <xf numFmtId="0" fontId="8" fillId="0" borderId="0" xfId="0" applyFont="1" applyFill="1" applyAlignment="1" applyProtection="1">
      <alignment vertical="top"/>
      <protection locked="0"/>
    </xf>
    <xf numFmtId="0" fontId="7" fillId="2" borderId="0" xfId="0" applyFont="1" applyFill="1" applyAlignment="1" applyProtection="1">
      <alignment vertical="top"/>
      <protection locked="0"/>
    </xf>
    <xf numFmtId="0" fontId="7" fillId="2" borderId="0" xfId="48" applyFont="1" applyFill="1" applyAlignment="1">
      <alignment vertical="center"/>
    </xf>
    <xf numFmtId="0" fontId="7" fillId="2" borderId="0" xfId="0" applyFont="1" applyFill="1" applyAlignment="1">
      <alignment/>
    </xf>
    <xf numFmtId="0" fontId="8" fillId="2" borderId="0" xfId="0" applyFont="1" applyFill="1" applyAlignment="1" applyProtection="1">
      <alignment vertical="top"/>
      <protection locked="0"/>
    </xf>
    <xf numFmtId="0" fontId="7" fillId="19" borderId="0" xfId="0" applyFont="1" applyFill="1" applyBorder="1" applyAlignment="1" applyProtection="1">
      <alignment horizontal="left" vertical="center" wrapText="1"/>
      <protection locked="0"/>
    </xf>
    <xf numFmtId="4" fontId="7" fillId="19" borderId="0" xfId="0" applyNumberFormat="1" applyFont="1" applyFill="1" applyBorder="1" applyAlignment="1" applyProtection="1">
      <alignment horizontal="center" vertical="center"/>
      <protection locked="0"/>
    </xf>
    <xf numFmtId="193" fontId="10" fillId="18" borderId="0" xfId="0" applyNumberFormat="1" applyFont="1" applyFill="1" applyAlignment="1">
      <alignment/>
    </xf>
    <xf numFmtId="186" fontId="32" fillId="2" borderId="0" xfId="51" applyNumberFormat="1" applyFont="1" applyFill="1" applyBorder="1" applyAlignment="1" applyProtection="1">
      <alignment horizontal="center" vertical="center"/>
      <protection locked="0"/>
    </xf>
    <xf numFmtId="0" fontId="32" fillId="2" borderId="0" xfId="51" applyFont="1" applyFill="1" applyBorder="1" applyAlignment="1" applyProtection="1">
      <alignment vertical="center"/>
      <protection locked="0"/>
    </xf>
    <xf numFmtId="4" fontId="33" fillId="2" borderId="0" xfId="51" applyNumberFormat="1" applyFont="1" applyFill="1" applyBorder="1" applyAlignment="1" applyProtection="1">
      <alignment horizontal="center" vertical="center"/>
      <protection locked="0"/>
    </xf>
    <xf numFmtId="186" fontId="34" fillId="2" borderId="0" xfId="51" applyNumberFormat="1" applyFont="1" applyFill="1" applyBorder="1" applyAlignment="1" applyProtection="1">
      <alignment horizontal="center" vertical="center"/>
      <protection locked="0"/>
    </xf>
    <xf numFmtId="0" fontId="35" fillId="2" borderId="0" xfId="51" applyFont="1" applyFill="1" applyBorder="1" applyAlignment="1" applyProtection="1">
      <alignment vertical="center"/>
      <protection locked="0"/>
    </xf>
    <xf numFmtId="0" fontId="35" fillId="2" borderId="0" xfId="51" applyFont="1" applyFill="1" applyBorder="1" applyAlignment="1" applyProtection="1">
      <alignment horizontal="center" vertical="center"/>
      <protection locked="0"/>
    </xf>
    <xf numFmtId="0" fontId="36" fillId="2" borderId="10" xfId="51" applyFont="1" applyFill="1" applyBorder="1" applyAlignment="1" applyProtection="1">
      <alignment vertical="center"/>
      <protection locked="0"/>
    </xf>
    <xf numFmtId="0" fontId="36" fillId="2" borderId="10" xfId="51" applyFont="1" applyFill="1" applyBorder="1" applyAlignment="1" applyProtection="1">
      <alignment horizontal="center" vertical="center"/>
      <protection locked="0"/>
    </xf>
    <xf numFmtId="186" fontId="36" fillId="2" borderId="10" xfId="51" applyNumberFormat="1" applyFont="1" applyFill="1" applyBorder="1" applyAlignment="1" applyProtection="1">
      <alignment horizontal="center" vertical="center"/>
      <protection locked="0"/>
    </xf>
    <xf numFmtId="0" fontId="35" fillId="2" borderId="0" xfId="50" applyFont="1" applyFill="1" applyBorder="1" applyAlignment="1">
      <alignment horizontal="right" vertical="center"/>
      <protection/>
    </xf>
    <xf numFmtId="186" fontId="35" fillId="2" borderId="0" xfId="50" applyNumberFormat="1" applyFont="1" applyFill="1" applyBorder="1" applyAlignment="1">
      <alignment horizontal="right" vertical="center"/>
      <protection/>
    </xf>
    <xf numFmtId="186" fontId="35" fillId="2" borderId="0" xfId="51" applyNumberFormat="1" applyFont="1" applyFill="1" applyBorder="1" applyAlignment="1" applyProtection="1">
      <alignment horizontal="center" vertical="center"/>
      <protection locked="0"/>
    </xf>
    <xf numFmtId="0" fontId="7" fillId="18" borderId="0" xfId="0" applyFont="1" applyFill="1" applyAlignment="1">
      <alignment horizontal="right"/>
    </xf>
    <xf numFmtId="4" fontId="7" fillId="2" borderId="0" xfId="0" applyNumberFormat="1" applyFont="1" applyFill="1" applyAlignment="1" applyProtection="1">
      <alignment vertical="top"/>
      <protection locked="0"/>
    </xf>
    <xf numFmtId="0" fontId="7" fillId="18" borderId="0" xfId="0" applyFont="1" applyFill="1" applyAlignment="1">
      <alignment horizontal="center"/>
    </xf>
    <xf numFmtId="0" fontId="7" fillId="2" borderId="0" xfId="0" applyFont="1" applyFill="1" applyAlignment="1" applyProtection="1">
      <alignment horizontal="center" vertical="center" wrapText="1"/>
      <protection locked="0"/>
    </xf>
    <xf numFmtId="4" fontId="7" fillId="18" borderId="0" xfId="0" applyNumberFormat="1" applyFont="1" applyFill="1" applyAlignment="1">
      <alignment/>
    </xf>
    <xf numFmtId="0" fontId="11" fillId="2" borderId="0" xfId="0" applyFont="1" applyFill="1" applyAlignment="1" applyProtection="1">
      <alignment horizontal="center" vertical="center" wrapText="1"/>
      <protection locked="0"/>
    </xf>
    <xf numFmtId="0" fontId="37" fillId="2" borderId="0" xfId="51" applyFont="1" applyFill="1" applyBorder="1" applyAlignment="1" applyProtection="1">
      <alignment horizontal="center" vertical="center" wrapText="1"/>
      <protection locked="0"/>
    </xf>
    <xf numFmtId="0" fontId="7" fillId="18" borderId="0" xfId="0" applyFont="1" applyFill="1" applyAlignment="1">
      <alignment horizontal="center"/>
    </xf>
    <xf numFmtId="199" fontId="36" fillId="2" borderId="10" xfId="50" applyNumberFormat="1" applyFont="1" applyFill="1" applyBorder="1" applyAlignment="1">
      <alignment horizontal="right" vertical="center"/>
      <protection/>
    </xf>
    <xf numFmtId="0" fontId="8" fillId="19" borderId="11" xfId="0" applyFont="1" applyFill="1" applyBorder="1" applyAlignment="1" applyProtection="1">
      <alignment horizontal="left" vertical="center"/>
      <protection locked="0"/>
    </xf>
    <xf numFmtId="0" fontId="9" fillId="20" borderId="12" xfId="0" applyFont="1" applyFill="1" applyBorder="1" applyAlignment="1">
      <alignment horizontal="center" vertical="center" wrapText="1"/>
    </xf>
    <xf numFmtId="0" fontId="9" fillId="20" borderId="13" xfId="0" applyFont="1" applyFill="1" applyBorder="1" applyAlignment="1">
      <alignment horizontal="center" vertical="center" wrapText="1"/>
    </xf>
    <xf numFmtId="193" fontId="9" fillId="20" borderId="12" xfId="0" applyNumberFormat="1" applyFont="1" applyFill="1" applyBorder="1" applyAlignment="1">
      <alignment horizontal="center" vertical="center" wrapText="1"/>
    </xf>
    <xf numFmtId="193" fontId="9" fillId="20" borderId="13" xfId="0" applyNumberFormat="1" applyFont="1" applyFill="1" applyBorder="1" applyAlignment="1">
      <alignment horizontal="center" vertical="center" wrapText="1"/>
    </xf>
    <xf numFmtId="0" fontId="9" fillId="21" borderId="12" xfId="0" applyFont="1" applyFill="1" applyBorder="1" applyAlignment="1">
      <alignment horizontal="center" vertical="center" wrapText="1"/>
    </xf>
    <xf numFmtId="0" fontId="9" fillId="21" borderId="13" xfId="0" applyFont="1" applyFill="1" applyBorder="1" applyAlignment="1">
      <alignment horizontal="center" vertical="center" wrapText="1"/>
    </xf>
    <xf numFmtId="193" fontId="9" fillId="21" borderId="12" xfId="0" applyNumberFormat="1" applyFont="1" applyFill="1" applyBorder="1" applyAlignment="1">
      <alignment horizontal="center" vertical="center" wrapText="1"/>
    </xf>
    <xf numFmtId="193" fontId="9" fillId="21" borderId="13" xfId="0" applyNumberFormat="1" applyFont="1" applyFill="1" applyBorder="1" applyAlignment="1">
      <alignment horizontal="center" vertical="center" wrapText="1"/>
    </xf>
    <xf numFmtId="0" fontId="38" fillId="18" borderId="0" xfId="48" applyFont="1" applyFill="1" applyAlignment="1">
      <alignment horizontal="center" vertical="center"/>
    </xf>
    <xf numFmtId="49" fontId="39" fillId="18" borderId="0" xfId="48" applyNumberFormat="1" applyFont="1" applyFill="1" applyAlignment="1">
      <alignment horizontal="center" vertical="center"/>
    </xf>
    <xf numFmtId="0" fontId="39" fillId="18" borderId="0" xfId="48" applyFont="1" applyFill="1" applyAlignment="1">
      <alignment horizontal="center" vertical="center" wrapText="1"/>
    </xf>
    <xf numFmtId="0" fontId="39" fillId="18" borderId="0" xfId="0" applyFont="1" applyFill="1" applyAlignment="1" applyProtection="1">
      <alignment horizontal="center" vertical="top"/>
      <protection locked="0"/>
    </xf>
    <xf numFmtId="0" fontId="39" fillId="19" borderId="0" xfId="0" applyFont="1" applyFill="1" applyAlignment="1" applyProtection="1">
      <alignment horizontal="center" vertical="top"/>
      <protection locked="0"/>
    </xf>
    <xf numFmtId="0" fontId="39" fillId="19" borderId="0" xfId="0" applyFont="1" applyFill="1" applyBorder="1" applyAlignment="1" applyProtection="1">
      <alignment horizontal="center" vertical="top"/>
      <protection locked="0"/>
    </xf>
    <xf numFmtId="0" fontId="39" fillId="18" borderId="0" xfId="48" applyFont="1" applyFill="1" applyAlignment="1">
      <alignment vertical="center"/>
    </xf>
    <xf numFmtId="0" fontId="39" fillId="19" borderId="0" xfId="48" applyFont="1" applyFill="1" applyAlignment="1">
      <alignment vertical="center"/>
    </xf>
    <xf numFmtId="0" fontId="39" fillId="19" borderId="0" xfId="48" applyFont="1" applyFill="1" applyBorder="1" applyAlignment="1">
      <alignment vertical="center"/>
    </xf>
    <xf numFmtId="0" fontId="39" fillId="18" borderId="0" xfId="0" applyFont="1" applyFill="1" applyAlignment="1">
      <alignment/>
    </xf>
    <xf numFmtId="0" fontId="39" fillId="18" borderId="0" xfId="0" applyFont="1" applyFill="1" applyAlignment="1">
      <alignment horizontal="center"/>
    </xf>
    <xf numFmtId="0" fontId="39" fillId="19" borderId="0" xfId="0" applyFont="1" applyFill="1" applyBorder="1" applyAlignment="1">
      <alignment horizontal="center"/>
    </xf>
    <xf numFmtId="0" fontId="39" fillId="18" borderId="14" xfId="0" applyFont="1" applyFill="1" applyBorder="1" applyAlignment="1" applyProtection="1">
      <alignment horizontal="right" vertical="top"/>
      <protection locked="0"/>
    </xf>
    <xf numFmtId="0" fontId="39" fillId="19" borderId="14" xfId="0" applyFont="1" applyFill="1" applyBorder="1" applyAlignment="1" applyProtection="1">
      <alignment horizontal="right" vertical="top"/>
      <protection locked="0"/>
    </xf>
    <xf numFmtId="0" fontId="39" fillId="18" borderId="14" xfId="0" applyFont="1" applyFill="1" applyBorder="1" applyAlignment="1" applyProtection="1">
      <alignment horizontal="center" vertical="center"/>
      <protection locked="0"/>
    </xf>
    <xf numFmtId="0" fontId="39" fillId="18" borderId="14" xfId="0" applyFont="1" applyFill="1" applyBorder="1" applyAlignment="1" applyProtection="1">
      <alignment horizontal="left" vertical="center"/>
      <protection locked="0"/>
    </xf>
    <xf numFmtId="0" fontId="39" fillId="19" borderId="0" xfId="0" applyFont="1" applyFill="1" applyBorder="1" applyAlignment="1" applyProtection="1">
      <alignment horizontal="center" vertical="center"/>
      <protection locked="0"/>
    </xf>
    <xf numFmtId="0" fontId="38" fillId="20" borderId="15" xfId="0" applyFont="1" applyFill="1" applyBorder="1" applyAlignment="1" applyProtection="1">
      <alignment horizontal="center" vertical="center"/>
      <protection locked="0"/>
    </xf>
    <xf numFmtId="0" fontId="38" fillId="20" borderId="16" xfId="0" applyFont="1" applyFill="1" applyBorder="1" applyAlignment="1" applyProtection="1">
      <alignment horizontal="center" vertical="center"/>
      <protection locked="0"/>
    </xf>
    <xf numFmtId="0" fontId="38" fillId="20" borderId="16" xfId="0" applyFont="1" applyFill="1" applyBorder="1" applyAlignment="1" applyProtection="1">
      <alignment horizontal="left" vertical="center" wrapText="1"/>
      <protection locked="0"/>
    </xf>
    <xf numFmtId="4" fontId="38" fillId="20" borderId="17" xfId="0" applyNumberFormat="1" applyFont="1" applyFill="1" applyBorder="1" applyAlignment="1" applyProtection="1">
      <alignment horizontal="center" vertical="center"/>
      <protection locked="0"/>
    </xf>
    <xf numFmtId="0" fontId="38" fillId="19" borderId="0" xfId="0" applyFont="1" applyFill="1" applyBorder="1" applyAlignment="1" applyProtection="1">
      <alignment horizontal="center" vertical="center"/>
      <protection locked="0"/>
    </xf>
    <xf numFmtId="0" fontId="39" fillId="18" borderId="0" xfId="0" applyFont="1" applyFill="1" applyBorder="1" applyAlignment="1" applyProtection="1">
      <alignment horizontal="center" vertical="center"/>
      <protection locked="0"/>
    </xf>
    <xf numFmtId="0" fontId="39" fillId="18" borderId="0" xfId="0" applyFont="1" applyFill="1" applyBorder="1" applyAlignment="1" applyProtection="1">
      <alignment horizontal="left" vertical="center" wrapText="1"/>
      <protection locked="0"/>
    </xf>
    <xf numFmtId="0" fontId="39" fillId="19" borderId="18" xfId="0" applyFont="1" applyFill="1" applyBorder="1" applyAlignment="1" applyProtection="1">
      <alignment horizontal="center" vertical="center"/>
      <protection locked="0"/>
    </xf>
    <xf numFmtId="0" fontId="39" fillId="19" borderId="18" xfId="0" applyFont="1" applyFill="1" applyBorder="1" applyAlignment="1" applyProtection="1">
      <alignment horizontal="left" vertical="center" wrapText="1"/>
      <protection locked="0"/>
    </xf>
    <xf numFmtId="4" fontId="39" fillId="19" borderId="18" xfId="0" applyNumberFormat="1" applyFont="1" applyFill="1" applyBorder="1" applyAlignment="1" applyProtection="1">
      <alignment horizontal="center" vertical="center"/>
      <protection locked="0"/>
    </xf>
    <xf numFmtId="0" fontId="39" fillId="18" borderId="14" xfId="0" applyFont="1" applyFill="1" applyBorder="1" applyAlignment="1" applyProtection="1">
      <alignment horizontal="left" vertical="center" wrapText="1"/>
      <protection locked="0"/>
    </xf>
    <xf numFmtId="4" fontId="39" fillId="18" borderId="14" xfId="0" applyNumberFormat="1" applyFont="1" applyFill="1" applyBorder="1" applyAlignment="1" applyProtection="1">
      <alignment horizontal="center" vertical="center"/>
      <protection locked="0"/>
    </xf>
    <xf numFmtId="0" fontId="38" fillId="20" borderId="16" xfId="0" applyFont="1" applyFill="1" applyBorder="1" applyAlignment="1" applyProtection="1">
      <alignment horizontal="left" vertical="center"/>
      <protection locked="0"/>
    </xf>
    <xf numFmtId="4" fontId="38" fillId="20" borderId="16" xfId="0" applyNumberFormat="1" applyFont="1" applyFill="1" applyBorder="1" applyAlignment="1" applyProtection="1">
      <alignment horizontal="center" vertical="center"/>
      <protection locked="0"/>
    </xf>
    <xf numFmtId="0" fontId="39" fillId="22" borderId="19" xfId="0" applyFont="1" applyFill="1" applyBorder="1" applyAlignment="1" applyProtection="1">
      <alignment horizontal="center" vertical="center"/>
      <protection locked="0"/>
    </xf>
    <xf numFmtId="0" fontId="39" fillId="22" borderId="19" xfId="0" applyFont="1" applyFill="1" applyBorder="1" applyAlignment="1" applyProtection="1">
      <alignment horizontal="left" vertical="center" wrapText="1"/>
      <protection locked="0"/>
    </xf>
    <xf numFmtId="4" fontId="39" fillId="22" borderId="19" xfId="0" applyNumberFormat="1" applyFont="1" applyFill="1" applyBorder="1" applyAlignment="1" applyProtection="1">
      <alignment horizontal="center" vertical="center"/>
      <protection locked="0"/>
    </xf>
    <xf numFmtId="4" fontId="39" fillId="18" borderId="0" xfId="0" applyNumberFormat="1" applyFont="1" applyFill="1" applyBorder="1" applyAlignment="1" applyProtection="1">
      <alignment horizontal="center" vertical="center"/>
      <protection locked="0"/>
    </xf>
    <xf numFmtId="0" fontId="39" fillId="19" borderId="0" xfId="0" applyFont="1" applyFill="1" applyBorder="1" applyAlignment="1" applyProtection="1">
      <alignment horizontal="center" vertical="center" wrapText="1"/>
      <protection locked="0"/>
    </xf>
    <xf numFmtId="0" fontId="39" fillId="19" borderId="0" xfId="0" applyFont="1" applyFill="1" applyBorder="1" applyAlignment="1" applyProtection="1">
      <alignment horizontal="left" vertical="center" wrapText="1"/>
      <protection locked="0"/>
    </xf>
    <xf numFmtId="0" fontId="39" fillId="2" borderId="0" xfId="0" applyFont="1" applyFill="1" applyAlignment="1" applyProtection="1">
      <alignment horizontal="center" vertical="center"/>
      <protection locked="0"/>
    </xf>
    <xf numFmtId="0" fontId="39" fillId="22" borderId="20" xfId="0" applyFont="1" applyFill="1" applyBorder="1" applyAlignment="1" applyProtection="1">
      <alignment horizontal="center" vertical="center"/>
      <protection locked="0"/>
    </xf>
    <xf numFmtId="0" fontId="39" fillId="22" borderId="20" xfId="0" applyFont="1" applyFill="1" applyBorder="1" applyAlignment="1" applyProtection="1">
      <alignment horizontal="left" vertical="center" wrapText="1"/>
      <protection locked="0"/>
    </xf>
    <xf numFmtId="4" fontId="39" fillId="22" borderId="20" xfId="0" applyNumberFormat="1" applyFont="1" applyFill="1" applyBorder="1" applyAlignment="1" applyProtection="1">
      <alignment horizontal="center" vertical="center"/>
      <protection locked="0"/>
    </xf>
    <xf numFmtId="0" fontId="39" fillId="19" borderId="18" xfId="0" applyFont="1" applyFill="1" applyBorder="1" applyAlignment="1" applyProtection="1">
      <alignment horizontal="center" vertical="center" wrapText="1"/>
      <protection locked="0"/>
    </xf>
    <xf numFmtId="0" fontId="39" fillId="19" borderId="21" xfId="0" applyFont="1" applyFill="1" applyBorder="1" applyAlignment="1" applyProtection="1">
      <alignment horizontal="center" vertical="center"/>
      <protection locked="0"/>
    </xf>
    <xf numFmtId="0" fontId="39" fillId="19" borderId="21" xfId="0" applyFont="1" applyFill="1" applyBorder="1" applyAlignment="1" applyProtection="1">
      <alignment horizontal="left" vertical="center" wrapText="1"/>
      <protection locked="0"/>
    </xf>
    <xf numFmtId="4" fontId="39" fillId="19" borderId="21" xfId="0" applyNumberFormat="1" applyFont="1" applyFill="1" applyBorder="1" applyAlignment="1" applyProtection="1">
      <alignment horizontal="center" vertical="center"/>
      <protection locked="0"/>
    </xf>
    <xf numFmtId="4" fontId="39" fillId="19" borderId="0" xfId="0" applyNumberFormat="1" applyFont="1" applyFill="1" applyBorder="1" applyAlignment="1" applyProtection="1">
      <alignment horizontal="center" vertical="center"/>
      <protection locked="0"/>
    </xf>
    <xf numFmtId="0" fontId="39" fillId="18" borderId="21" xfId="0" applyFont="1" applyFill="1" applyBorder="1" applyAlignment="1" applyProtection="1">
      <alignment horizontal="center" vertical="center"/>
      <protection locked="0"/>
    </xf>
    <xf numFmtId="0" fontId="39" fillId="18" borderId="21" xfId="0" applyFont="1" applyFill="1" applyBorder="1" applyAlignment="1" applyProtection="1">
      <alignment horizontal="left" vertical="center" wrapText="1"/>
      <protection locked="0"/>
    </xf>
    <xf numFmtId="4" fontId="39" fillId="18" borderId="21" xfId="0" applyNumberFormat="1" applyFont="1" applyFill="1" applyBorder="1" applyAlignment="1" applyProtection="1">
      <alignment horizontal="center" vertical="center"/>
      <protection locked="0"/>
    </xf>
    <xf numFmtId="4" fontId="39" fillId="2" borderId="18" xfId="51" applyNumberFormat="1" applyFont="1" applyFill="1" applyBorder="1" applyAlignment="1" applyProtection="1">
      <alignment horizontal="center" vertical="center"/>
      <protection locked="0"/>
    </xf>
    <xf numFmtId="0" fontId="38" fillId="20" borderId="14" xfId="0" applyFont="1" applyFill="1" applyBorder="1" applyAlignment="1" applyProtection="1">
      <alignment horizontal="center" vertical="center"/>
      <protection locked="0"/>
    </xf>
    <xf numFmtId="0" fontId="38" fillId="20" borderId="14" xfId="0" applyFont="1" applyFill="1" applyBorder="1" applyAlignment="1" applyProtection="1">
      <alignment horizontal="left" vertical="center"/>
      <protection locked="0"/>
    </xf>
    <xf numFmtId="4" fontId="38" fillId="20" borderId="14" xfId="0" applyNumberFormat="1" applyFont="1" applyFill="1" applyBorder="1" applyAlignment="1" applyProtection="1">
      <alignment horizontal="center" vertical="center"/>
      <protection locked="0"/>
    </xf>
    <xf numFmtId="0" fontId="39" fillId="18" borderId="11" xfId="0" applyFont="1" applyFill="1" applyBorder="1" applyAlignment="1">
      <alignment/>
    </xf>
    <xf numFmtId="0" fontId="39" fillId="18" borderId="11" xfId="0" applyFont="1" applyFill="1" applyBorder="1" applyAlignment="1">
      <alignment horizontal="center"/>
    </xf>
    <xf numFmtId="0" fontId="39" fillId="19" borderId="0" xfId="0" applyFont="1" applyFill="1" applyBorder="1" applyAlignment="1">
      <alignment/>
    </xf>
    <xf numFmtId="0" fontId="39" fillId="22" borderId="11" xfId="0" applyFont="1" applyFill="1" applyBorder="1" applyAlignment="1" applyProtection="1">
      <alignment horizontal="center" vertical="center"/>
      <protection locked="0"/>
    </xf>
    <xf numFmtId="0" fontId="39" fillId="22" borderId="11" xfId="0" applyFont="1" applyFill="1" applyBorder="1" applyAlignment="1" applyProtection="1">
      <alignment horizontal="left" vertical="center" wrapText="1"/>
      <protection locked="0"/>
    </xf>
    <xf numFmtId="4" fontId="39" fillId="22" borderId="11" xfId="0" applyNumberFormat="1" applyFont="1" applyFill="1" applyBorder="1" applyAlignment="1" applyProtection="1">
      <alignment horizontal="center" vertical="center"/>
      <protection locked="0"/>
    </xf>
    <xf numFmtId="0" fontId="39" fillId="19" borderId="22" xfId="0" applyFont="1" applyFill="1" applyBorder="1" applyAlignment="1" applyProtection="1">
      <alignment horizontal="center" vertical="center"/>
      <protection locked="0"/>
    </xf>
    <xf numFmtId="0" fontId="39" fillId="19" borderId="22" xfId="0" applyFont="1" applyFill="1" applyBorder="1" applyAlignment="1" applyProtection="1">
      <alignment horizontal="left" vertical="center" wrapText="1"/>
      <protection locked="0"/>
    </xf>
    <xf numFmtId="0" fontId="39" fillId="19" borderId="22" xfId="0" applyFont="1" applyFill="1" applyBorder="1" applyAlignment="1" applyProtection="1">
      <alignment horizontal="center" vertical="center" wrapText="1"/>
      <protection locked="0"/>
    </xf>
    <xf numFmtId="3" fontId="39" fillId="19" borderId="18" xfId="0" applyNumberFormat="1" applyFont="1" applyFill="1" applyBorder="1" applyAlignment="1" applyProtection="1">
      <alignment horizontal="center" vertical="center"/>
      <protection locked="0"/>
    </xf>
    <xf numFmtId="0" fontId="39" fillId="19" borderId="0" xfId="0" applyFont="1" applyFill="1" applyAlignment="1">
      <alignment horizontal="center" vertical="center" wrapText="1"/>
    </xf>
    <xf numFmtId="0" fontId="39" fillId="18" borderId="23" xfId="0" applyFont="1" applyFill="1" applyBorder="1" applyAlignment="1" applyProtection="1">
      <alignment horizontal="center" vertical="center"/>
      <protection locked="0"/>
    </xf>
    <xf numFmtId="0" fontId="39" fillId="18" borderId="23" xfId="0" applyFont="1" applyFill="1" applyBorder="1" applyAlignment="1" applyProtection="1">
      <alignment horizontal="left" vertical="center" wrapText="1"/>
      <protection locked="0"/>
    </xf>
    <xf numFmtId="4" fontId="39" fillId="18" borderId="23" xfId="0" applyNumberFormat="1" applyFont="1" applyFill="1" applyBorder="1" applyAlignment="1" applyProtection="1">
      <alignment horizontal="center" vertical="center"/>
      <protection locked="0"/>
    </xf>
    <xf numFmtId="0" fontId="38" fillId="21" borderId="15" xfId="0" applyFont="1" applyFill="1" applyBorder="1" applyAlignment="1" applyProtection="1">
      <alignment horizontal="center" vertical="center"/>
      <protection locked="0"/>
    </xf>
    <xf numFmtId="0" fontId="38" fillId="21" borderId="16" xfId="0" applyFont="1" applyFill="1" applyBorder="1" applyAlignment="1" applyProtection="1">
      <alignment horizontal="center" vertical="center"/>
      <protection locked="0"/>
    </xf>
    <xf numFmtId="0" fontId="38" fillId="21" borderId="16" xfId="0" applyFont="1" applyFill="1" applyBorder="1" applyAlignment="1" applyProtection="1">
      <alignment horizontal="left" vertical="center"/>
      <protection locked="0"/>
    </xf>
    <xf numFmtId="4" fontId="38" fillId="21" borderId="16" xfId="0" applyNumberFormat="1" applyFont="1" applyFill="1" applyBorder="1" applyAlignment="1" applyProtection="1">
      <alignment horizontal="center" vertical="center"/>
      <protection locked="0"/>
    </xf>
    <xf numFmtId="4" fontId="38" fillId="21" borderId="17" xfId="0" applyNumberFormat="1" applyFont="1" applyFill="1" applyBorder="1" applyAlignment="1" applyProtection="1">
      <alignment horizontal="center" vertical="center"/>
      <protection locked="0"/>
    </xf>
    <xf numFmtId="0" fontId="39" fillId="19" borderId="0" xfId="0" applyFont="1" applyFill="1" applyAlignment="1">
      <alignment horizontal="left" vertical="center" wrapText="1"/>
    </xf>
    <xf numFmtId="0" fontId="39" fillId="19" borderId="0" xfId="0" applyFont="1" applyFill="1" applyBorder="1" applyAlignment="1">
      <alignment horizontal="center" vertical="center" wrapText="1"/>
    </xf>
    <xf numFmtId="0" fontId="39" fillId="2" borderId="21" xfId="0" applyFont="1" applyFill="1" applyBorder="1" applyAlignment="1" applyProtection="1">
      <alignment horizontal="center" vertical="center"/>
      <protection locked="0"/>
    </xf>
    <xf numFmtId="0" fontId="39" fillId="2" borderId="21" xfId="0" applyFont="1" applyFill="1" applyBorder="1" applyAlignment="1" applyProtection="1">
      <alignment horizontal="left" vertical="center" wrapText="1"/>
      <protection locked="0"/>
    </xf>
    <xf numFmtId="4" fontId="39" fillId="2" borderId="21" xfId="0" applyNumberFormat="1" applyFont="1" applyFill="1" applyBorder="1" applyAlignment="1" applyProtection="1">
      <alignment horizontal="center" vertical="center"/>
      <protection locked="0"/>
    </xf>
    <xf numFmtId="0" fontId="39" fillId="2" borderId="0" xfId="0" applyFont="1" applyFill="1" applyBorder="1" applyAlignment="1" applyProtection="1">
      <alignment horizontal="center" vertical="center"/>
      <protection locked="0"/>
    </xf>
    <xf numFmtId="0" fontId="39" fillId="19" borderId="18" xfId="0" applyFont="1" applyFill="1" applyBorder="1" applyAlignment="1">
      <alignment horizontal="center" vertical="center" wrapText="1"/>
    </xf>
    <xf numFmtId="0" fontId="39" fillId="19" borderId="18" xfId="0" applyFont="1" applyFill="1" applyBorder="1" applyAlignment="1">
      <alignment horizontal="left" vertical="center" wrapText="1"/>
    </xf>
    <xf numFmtId="0" fontId="39" fillId="19" borderId="0" xfId="0" applyFont="1" applyFill="1" applyBorder="1" applyAlignment="1">
      <alignment horizontal="left" vertical="center" wrapText="1"/>
    </xf>
    <xf numFmtId="0" fontId="39" fillId="18" borderId="14" xfId="0" applyFont="1" applyFill="1" applyBorder="1" applyAlignment="1">
      <alignment/>
    </xf>
    <xf numFmtId="0" fontId="39" fillId="18" borderId="14" xfId="0" applyFont="1" applyFill="1" applyBorder="1" applyAlignment="1">
      <alignment horizontal="center"/>
    </xf>
    <xf numFmtId="0" fontId="39" fillId="2" borderId="18" xfId="0" applyFont="1" applyFill="1" applyBorder="1" applyAlignment="1" applyProtection="1">
      <alignment horizontal="center" vertical="center" wrapText="1"/>
      <protection locked="0"/>
    </xf>
    <xf numFmtId="0" fontId="39" fillId="2" borderId="18" xfId="0" applyFont="1" applyFill="1" applyBorder="1" applyAlignment="1" applyProtection="1">
      <alignment horizontal="left" vertical="center" wrapText="1"/>
      <protection locked="0"/>
    </xf>
    <xf numFmtId="0" fontId="39" fillId="19" borderId="24" xfId="0" applyFont="1" applyFill="1" applyBorder="1" applyAlignment="1" applyProtection="1">
      <alignment horizontal="center" vertical="center"/>
      <protection locked="0"/>
    </xf>
    <xf numFmtId="0" fontId="39" fillId="19" borderId="23" xfId="0" applyFont="1" applyFill="1" applyBorder="1" applyAlignment="1" applyProtection="1">
      <alignment horizontal="center" vertical="center"/>
      <protection locked="0"/>
    </xf>
    <xf numFmtId="0" fontId="39" fillId="19" borderId="23" xfId="0" applyFont="1" applyFill="1" applyBorder="1" applyAlignment="1" applyProtection="1">
      <alignment horizontal="left" vertical="center" wrapText="1"/>
      <protection locked="0"/>
    </xf>
    <xf numFmtId="4" fontId="39" fillId="19" borderId="23" xfId="0" applyNumberFormat="1" applyFont="1" applyFill="1" applyBorder="1" applyAlignment="1" applyProtection="1">
      <alignment horizontal="center" vertical="center"/>
      <protection locked="0"/>
    </xf>
    <xf numFmtId="0" fontId="39" fillId="19" borderId="14" xfId="0" applyFont="1" applyFill="1" applyBorder="1" applyAlignment="1" applyProtection="1">
      <alignment horizontal="center" vertical="center"/>
      <protection locked="0"/>
    </xf>
    <xf numFmtId="0" fontId="5" fillId="2" borderId="0" xfId="51" applyFont="1" applyFill="1" applyBorder="1" applyAlignment="1" applyProtection="1">
      <alignment vertical="center"/>
      <protection locked="0"/>
    </xf>
    <xf numFmtId="0" fontId="5" fillId="2" borderId="0" xfId="51" applyFont="1" applyFill="1" applyBorder="1" applyAlignment="1" applyProtection="1">
      <alignment horizontal="center" vertical="center"/>
      <protection locked="0"/>
    </xf>
    <xf numFmtId="0" fontId="5" fillId="2" borderId="0" xfId="50" applyFont="1" applyFill="1" applyBorder="1" applyAlignment="1">
      <alignment horizontal="right" vertical="center"/>
      <protection/>
    </xf>
    <xf numFmtId="186" fontId="5" fillId="2" borderId="0" xfId="50" applyNumberFormat="1" applyFont="1" applyFill="1" applyBorder="1" applyAlignment="1">
      <alignment horizontal="right" vertical="center"/>
      <protection/>
    </xf>
    <xf numFmtId="186" fontId="5" fillId="2" borderId="0" xfId="51" applyNumberFormat="1" applyFont="1" applyFill="1" applyBorder="1" applyAlignment="1" applyProtection="1">
      <alignment horizontal="center" vertical="center"/>
      <protection locked="0"/>
    </xf>
    <xf numFmtId="0" fontId="40" fillId="18" borderId="0" xfId="0" applyFont="1" applyFill="1" applyAlignment="1">
      <alignment horizontal="center" vertical="center" wrapText="1"/>
    </xf>
    <xf numFmtId="0" fontId="40" fillId="19" borderId="0" xfId="0" applyFont="1" applyFill="1" applyBorder="1" applyAlignment="1">
      <alignment horizontal="center" vertical="center" wrapText="1"/>
    </xf>
    <xf numFmtId="0" fontId="38" fillId="2" borderId="0" xfId="0" applyFont="1" applyFill="1" applyAlignment="1" applyProtection="1">
      <alignment horizontal="center" vertical="center" wrapText="1"/>
      <protection locked="0"/>
    </xf>
    <xf numFmtId="0" fontId="38" fillId="2" borderId="0" xfId="48" applyFont="1" applyFill="1" applyAlignment="1">
      <alignment horizontal="center" vertical="center" wrapText="1"/>
    </xf>
    <xf numFmtId="0" fontId="38" fillId="2" borderId="0" xfId="0" applyFont="1" applyFill="1" applyAlignment="1">
      <alignment horizontal="center" vertical="center" wrapText="1"/>
    </xf>
    <xf numFmtId="0" fontId="38" fillId="2" borderId="14" xfId="0" applyFont="1" applyFill="1" applyBorder="1" applyAlignment="1">
      <alignment horizontal="center" vertical="center" wrapText="1"/>
    </xf>
    <xf numFmtId="0" fontId="38" fillId="23" borderId="14" xfId="0" applyFont="1" applyFill="1" applyBorder="1" applyAlignment="1" applyProtection="1">
      <alignment horizontal="center" vertical="center" wrapText="1"/>
      <protection locked="0"/>
    </xf>
    <xf numFmtId="0" fontId="38" fillId="23" borderId="0" xfId="0" applyFont="1" applyFill="1" applyAlignment="1" applyProtection="1">
      <alignment horizontal="center" vertical="center" wrapText="1"/>
      <protection locked="0"/>
    </xf>
    <xf numFmtId="4" fontId="38" fillId="23" borderId="0" xfId="51" applyNumberFormat="1" applyFont="1" applyFill="1" applyBorder="1" applyAlignment="1" applyProtection="1">
      <alignment horizontal="center" vertical="center" wrapText="1"/>
      <protection locked="0"/>
    </xf>
    <xf numFmtId="0" fontId="42" fillId="2" borderId="0" xfId="51" applyFont="1" applyFill="1" applyBorder="1" applyAlignment="1" applyProtection="1">
      <alignment horizontal="center" vertical="center" wrapText="1"/>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3" xfId="51"/>
    <cellStyle name="Normal 5" xfId="52"/>
    <cellStyle name="Normal 5 2" xfId="53"/>
    <cellStyle name="Normal 5 3"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00FF"/>
      <rgbColor rgb="00808080"/>
      <rgbColor rgb="00FF00FF"/>
      <rgbColor rgb="00008000"/>
      <rgbColor rgb="0000FF00"/>
      <rgbColor rgb="00C0C0C0"/>
      <rgbColor rgb="00800000"/>
      <rgbColor rgb="00800080"/>
      <rgbColor rgb="00000080"/>
      <rgbColor rgb="00FFFF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85725</xdr:rowOff>
    </xdr:from>
    <xdr:to>
      <xdr:col>2</xdr:col>
      <xdr:colOff>266700</xdr:colOff>
      <xdr:row>8</xdr:row>
      <xdr:rowOff>19050</xdr:rowOff>
    </xdr:to>
    <xdr:pic>
      <xdr:nvPicPr>
        <xdr:cNvPr id="1" name="Picture 1"/>
        <xdr:cNvPicPr preferRelativeResize="1">
          <a:picLocks noChangeAspect="1"/>
        </xdr:cNvPicPr>
      </xdr:nvPicPr>
      <xdr:blipFill>
        <a:blip r:embed="rId1"/>
        <a:stretch>
          <a:fillRect/>
        </a:stretch>
      </xdr:blipFill>
      <xdr:spPr>
        <a:xfrm>
          <a:off x="0" y="571500"/>
          <a:ext cx="971550" cy="657225"/>
        </a:xfrm>
        <a:prstGeom prst="rect">
          <a:avLst/>
        </a:prstGeom>
        <a:noFill/>
        <a:ln w="9525" cmpd="sng">
          <a:noFill/>
        </a:ln>
      </xdr:spPr>
    </xdr:pic>
    <xdr:clientData/>
  </xdr:twoCellAnchor>
  <xdr:twoCellAnchor editAs="oneCell">
    <xdr:from>
      <xdr:col>2</xdr:col>
      <xdr:colOff>304800</xdr:colOff>
      <xdr:row>3</xdr:row>
      <xdr:rowOff>104775</xdr:rowOff>
    </xdr:from>
    <xdr:to>
      <xdr:col>7</xdr:col>
      <xdr:colOff>85725</xdr:colOff>
      <xdr:row>7</xdr:row>
      <xdr:rowOff>152400</xdr:rowOff>
    </xdr:to>
    <xdr:pic>
      <xdr:nvPicPr>
        <xdr:cNvPr id="2" name="Picture 2"/>
        <xdr:cNvPicPr preferRelativeResize="1">
          <a:picLocks noChangeAspect="1"/>
        </xdr:cNvPicPr>
      </xdr:nvPicPr>
      <xdr:blipFill>
        <a:blip r:embed="rId2"/>
        <a:stretch>
          <a:fillRect/>
        </a:stretch>
      </xdr:blipFill>
      <xdr:spPr>
        <a:xfrm>
          <a:off x="1009650" y="590550"/>
          <a:ext cx="39909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66"/>
  <sheetViews>
    <sheetView tabSelected="1" zoomScalePageLayoutView="0" workbookViewId="0" topLeftCell="B1">
      <selection activeCell="A1" sqref="A1:I350"/>
    </sheetView>
  </sheetViews>
  <sheetFormatPr defaultColWidth="9.140625" defaultRowHeight="12.75"/>
  <cols>
    <col min="1" max="1" width="5.7109375" style="1" hidden="1" customWidth="1"/>
    <col min="2" max="2" width="10.57421875" style="1" customWidth="1"/>
    <col min="3" max="3" width="48.7109375" style="1" customWidth="1"/>
    <col min="4" max="4" width="6.7109375" style="30" customWidth="1"/>
    <col min="5" max="5" width="7.7109375" style="1" customWidth="1"/>
    <col min="6" max="6" width="8.7109375" style="1" hidden="1" customWidth="1"/>
    <col min="7" max="7" width="14.28125" style="1" hidden="1" customWidth="1"/>
    <col min="8" max="8" width="2.7109375" style="4" customWidth="1"/>
    <col min="9" max="9" width="30.140625" style="33" customWidth="1"/>
    <col min="10" max="11" width="9.140625" style="9" customWidth="1"/>
    <col min="12" max="16384" width="9.140625" style="5" customWidth="1"/>
  </cols>
  <sheetData>
    <row r="1" spans="1:9" ht="12.75" customHeight="1">
      <c r="A1" s="141" t="s">
        <v>763</v>
      </c>
      <c r="B1" s="141"/>
      <c r="C1" s="141"/>
      <c r="D1" s="141"/>
      <c r="E1" s="141"/>
      <c r="F1" s="141"/>
      <c r="G1" s="141"/>
      <c r="H1" s="142"/>
      <c r="I1" s="143"/>
    </row>
    <row r="2" spans="1:9" ht="12.75" customHeight="1">
      <c r="A2" s="141"/>
      <c r="B2" s="141"/>
      <c r="C2" s="141"/>
      <c r="D2" s="141"/>
      <c r="E2" s="141"/>
      <c r="F2" s="141"/>
      <c r="G2" s="141"/>
      <c r="H2" s="142"/>
      <c r="I2" s="143"/>
    </row>
    <row r="3" spans="1:9" ht="12.75" customHeight="1">
      <c r="A3" s="141"/>
      <c r="B3" s="141"/>
      <c r="C3" s="141"/>
      <c r="D3" s="141"/>
      <c r="E3" s="141"/>
      <c r="F3" s="141"/>
      <c r="G3" s="141"/>
      <c r="H3" s="142"/>
      <c r="I3" s="143"/>
    </row>
    <row r="4" spans="1:11" s="6" customFormat="1" ht="10.5" customHeight="1">
      <c r="A4" s="46"/>
      <c r="B4" s="47"/>
      <c r="C4" s="48"/>
      <c r="D4" s="48"/>
      <c r="E4" s="49"/>
      <c r="F4" s="49"/>
      <c r="G4" s="50"/>
      <c r="H4" s="51"/>
      <c r="I4" s="144"/>
      <c r="J4" s="10"/>
      <c r="K4" s="10"/>
    </row>
    <row r="5" spans="1:11" s="6" customFormat="1" ht="10.5" customHeight="1">
      <c r="A5" s="46"/>
      <c r="B5" s="47"/>
      <c r="C5" s="48"/>
      <c r="D5" s="48"/>
      <c r="E5" s="52"/>
      <c r="F5" s="52"/>
      <c r="G5" s="53"/>
      <c r="H5" s="54"/>
      <c r="I5" s="144"/>
      <c r="J5" s="10"/>
      <c r="K5" s="10"/>
    </row>
    <row r="6" spans="1:11" s="6" customFormat="1" ht="10.5" customHeight="1">
      <c r="A6" s="46"/>
      <c r="B6" s="47"/>
      <c r="C6" s="48"/>
      <c r="D6" s="48"/>
      <c r="E6" s="49"/>
      <c r="F6" s="49"/>
      <c r="G6" s="50"/>
      <c r="H6" s="51"/>
      <c r="I6" s="144"/>
      <c r="J6" s="10"/>
      <c r="K6" s="10"/>
    </row>
    <row r="7" spans="1:11" s="6" customFormat="1" ht="10.5" customHeight="1">
      <c r="A7" s="46"/>
      <c r="B7" s="47"/>
      <c r="C7" s="48"/>
      <c r="D7" s="48"/>
      <c r="E7" s="49"/>
      <c r="F7" s="49"/>
      <c r="G7" s="50"/>
      <c r="H7" s="51"/>
      <c r="I7" s="144"/>
      <c r="J7" s="10"/>
      <c r="K7" s="10"/>
    </row>
    <row r="8" spans="1:11" s="7" customFormat="1" ht="15" customHeight="1">
      <c r="A8" s="55"/>
      <c r="B8" s="55"/>
      <c r="C8" s="48"/>
      <c r="D8" s="48"/>
      <c r="E8" s="55"/>
      <c r="F8" s="56"/>
      <c r="G8" s="56"/>
      <c r="H8" s="57"/>
      <c r="I8" s="145"/>
      <c r="J8" s="11"/>
      <c r="K8" s="11"/>
    </row>
    <row r="9" spans="1:11" s="7" customFormat="1" ht="19.5" customHeight="1">
      <c r="A9" s="141" t="s">
        <v>456</v>
      </c>
      <c r="B9" s="141"/>
      <c r="C9" s="141"/>
      <c r="D9" s="141"/>
      <c r="E9" s="141"/>
      <c r="F9" s="141"/>
      <c r="G9" s="141"/>
      <c r="H9" s="142"/>
      <c r="I9" s="145"/>
      <c r="J9" s="11"/>
      <c r="K9" s="11"/>
    </row>
    <row r="10" spans="1:11" s="7" customFormat="1" ht="19.5" customHeight="1">
      <c r="A10" s="141"/>
      <c r="B10" s="141"/>
      <c r="C10" s="141"/>
      <c r="D10" s="141"/>
      <c r="E10" s="141"/>
      <c r="F10" s="141"/>
      <c r="G10" s="141"/>
      <c r="H10" s="142"/>
      <c r="I10" s="145"/>
      <c r="J10" s="11"/>
      <c r="K10" s="11"/>
    </row>
    <row r="11" spans="1:11" s="7" customFormat="1" ht="15" customHeight="1" thickBot="1">
      <c r="A11" s="58"/>
      <c r="B11" s="58"/>
      <c r="C11" s="58"/>
      <c r="D11" s="58"/>
      <c r="E11" s="58"/>
      <c r="F11" s="58"/>
      <c r="G11" s="58"/>
      <c r="H11" s="59"/>
      <c r="I11" s="146"/>
      <c r="J11" s="11"/>
      <c r="K11" s="11"/>
    </row>
    <row r="12" spans="1:9" ht="19.5" customHeight="1" thickBot="1">
      <c r="A12" s="60" t="s">
        <v>654</v>
      </c>
      <c r="B12" s="60" t="s">
        <v>762</v>
      </c>
      <c r="C12" s="61" t="s">
        <v>655</v>
      </c>
      <c r="D12" s="60" t="s">
        <v>656</v>
      </c>
      <c r="E12" s="60" t="s">
        <v>657</v>
      </c>
      <c r="F12" s="60" t="s">
        <v>658</v>
      </c>
      <c r="G12" s="60" t="s">
        <v>659</v>
      </c>
      <c r="H12" s="62"/>
      <c r="I12" s="147" t="s">
        <v>694</v>
      </c>
    </row>
    <row r="13" spans="1:9" ht="9.75" customHeight="1" thickBot="1">
      <c r="A13" s="60"/>
      <c r="B13" s="60"/>
      <c r="C13" s="61"/>
      <c r="D13" s="60"/>
      <c r="E13" s="60"/>
      <c r="F13" s="60"/>
      <c r="G13" s="60"/>
      <c r="H13" s="62"/>
      <c r="I13" s="148"/>
    </row>
    <row r="14" spans="1:11" s="8" customFormat="1" ht="19.5" customHeight="1" thickBot="1">
      <c r="A14" s="63" t="s">
        <v>666</v>
      </c>
      <c r="B14" s="64"/>
      <c r="C14" s="65" t="s">
        <v>676</v>
      </c>
      <c r="D14" s="64"/>
      <c r="E14" s="64"/>
      <c r="F14" s="64"/>
      <c r="G14" s="66">
        <f>SUM(G16:G32)</f>
        <v>151873.19</v>
      </c>
      <c r="H14" s="67"/>
      <c r="I14" s="148"/>
      <c r="J14" s="12"/>
      <c r="K14" s="12"/>
    </row>
    <row r="15" spans="1:9" ht="9.75" customHeight="1">
      <c r="A15" s="68"/>
      <c r="B15" s="68"/>
      <c r="C15" s="69"/>
      <c r="D15" s="68"/>
      <c r="E15" s="68"/>
      <c r="F15" s="68"/>
      <c r="G15" s="68"/>
      <c r="H15" s="62"/>
      <c r="I15" s="148"/>
    </row>
    <row r="16" spans="1:9" s="9" customFormat="1" ht="30" customHeight="1">
      <c r="A16" s="70" t="s">
        <v>667</v>
      </c>
      <c r="B16" s="70" t="s">
        <v>684</v>
      </c>
      <c r="C16" s="71" t="s">
        <v>681</v>
      </c>
      <c r="D16" s="70" t="s">
        <v>660</v>
      </c>
      <c r="E16" s="72">
        <v>6</v>
      </c>
      <c r="F16" s="72">
        <v>298.1</v>
      </c>
      <c r="G16" s="72">
        <f>ROUND(E16*F16,2)</f>
        <v>1788.6</v>
      </c>
      <c r="H16" s="62"/>
      <c r="I16" s="148" t="s">
        <v>457</v>
      </c>
    </row>
    <row r="17" spans="1:9" ht="60" customHeight="1">
      <c r="A17" s="70" t="s">
        <v>668</v>
      </c>
      <c r="B17" s="70" t="s">
        <v>496</v>
      </c>
      <c r="C17" s="71" t="s">
        <v>494</v>
      </c>
      <c r="D17" s="70" t="s">
        <v>660</v>
      </c>
      <c r="E17" s="72">
        <f>ROUND((230+310)*2,2)</f>
        <v>1080</v>
      </c>
      <c r="F17" s="72">
        <v>18.15</v>
      </c>
      <c r="G17" s="72">
        <f aca="true" t="shared" si="0" ref="G17:G31">ROUND(E17*F17,2)</f>
        <v>19602</v>
      </c>
      <c r="H17" s="62"/>
      <c r="I17" s="148" t="s">
        <v>495</v>
      </c>
    </row>
    <row r="18" spans="1:10" ht="90" customHeight="1">
      <c r="A18" s="70" t="s">
        <v>669</v>
      </c>
      <c r="B18" s="70" t="s">
        <v>764</v>
      </c>
      <c r="C18" s="71" t="s">
        <v>810</v>
      </c>
      <c r="D18" s="70" t="s">
        <v>765</v>
      </c>
      <c r="E18" s="72">
        <v>8</v>
      </c>
      <c r="F18" s="72">
        <v>400</v>
      </c>
      <c r="G18" s="72">
        <f t="shared" si="0"/>
        <v>3200</v>
      </c>
      <c r="H18" s="62"/>
      <c r="I18" s="148" t="s">
        <v>526</v>
      </c>
      <c r="J18" s="29"/>
    </row>
    <row r="19" spans="1:9" ht="90" customHeight="1">
      <c r="A19" s="70" t="s">
        <v>662</v>
      </c>
      <c r="B19" s="70" t="s">
        <v>766</v>
      </c>
      <c r="C19" s="71" t="s">
        <v>811</v>
      </c>
      <c r="D19" s="70" t="s">
        <v>765</v>
      </c>
      <c r="E19" s="72">
        <v>8</v>
      </c>
      <c r="F19" s="72">
        <v>600</v>
      </c>
      <c r="G19" s="72">
        <f t="shared" si="0"/>
        <v>4800</v>
      </c>
      <c r="H19" s="62"/>
      <c r="I19" s="148" t="s">
        <v>526</v>
      </c>
    </row>
    <row r="20" spans="1:9" ht="30" customHeight="1">
      <c r="A20" s="70" t="s">
        <v>663</v>
      </c>
      <c r="B20" s="70" t="s">
        <v>514</v>
      </c>
      <c r="C20" s="71" t="s">
        <v>497</v>
      </c>
      <c r="D20" s="70" t="s">
        <v>498</v>
      </c>
      <c r="E20" s="72">
        <f>ROUND(2*60,2)</f>
        <v>120</v>
      </c>
      <c r="F20" s="72">
        <v>20.5</v>
      </c>
      <c r="G20" s="72">
        <f t="shared" si="0"/>
        <v>2460</v>
      </c>
      <c r="H20" s="62"/>
      <c r="I20" s="148" t="s">
        <v>499</v>
      </c>
    </row>
    <row r="21" spans="1:9" ht="30" customHeight="1">
      <c r="A21" s="70" t="s">
        <v>679</v>
      </c>
      <c r="B21" s="70" t="s">
        <v>515</v>
      </c>
      <c r="C21" s="71" t="s">
        <v>500</v>
      </c>
      <c r="D21" s="70" t="s">
        <v>661</v>
      </c>
      <c r="E21" s="72">
        <v>2</v>
      </c>
      <c r="F21" s="72">
        <v>54.18</v>
      </c>
      <c r="G21" s="72">
        <f t="shared" si="0"/>
        <v>108.36</v>
      </c>
      <c r="H21" s="62"/>
      <c r="I21" s="148" t="s">
        <v>183</v>
      </c>
    </row>
    <row r="22" spans="1:9" ht="75" customHeight="1">
      <c r="A22" s="70" t="s">
        <v>680</v>
      </c>
      <c r="B22" s="70" t="s">
        <v>685</v>
      </c>
      <c r="C22" s="71" t="s">
        <v>682</v>
      </c>
      <c r="D22" s="70" t="s">
        <v>664</v>
      </c>
      <c r="E22" s="72">
        <f>ROUND(66.62*2.5*2,2)</f>
        <v>333.1</v>
      </c>
      <c r="F22" s="72">
        <v>4</v>
      </c>
      <c r="G22" s="72">
        <f t="shared" si="0"/>
        <v>1332.4</v>
      </c>
      <c r="H22" s="62"/>
      <c r="I22" s="148" t="s">
        <v>509</v>
      </c>
    </row>
    <row r="23" spans="1:9" ht="30" customHeight="1">
      <c r="A23" s="70" t="s">
        <v>683</v>
      </c>
      <c r="B23" s="70" t="s">
        <v>686</v>
      </c>
      <c r="C23" s="71" t="s">
        <v>746</v>
      </c>
      <c r="D23" s="70" t="s">
        <v>660</v>
      </c>
      <c r="E23" s="72">
        <f>ROUND((66.62*2.5*2)+(25*4.1*2),2)</f>
        <v>538.1</v>
      </c>
      <c r="F23" s="72">
        <v>5.16</v>
      </c>
      <c r="G23" s="72">
        <f t="shared" si="0"/>
        <v>2776.6</v>
      </c>
      <c r="H23" s="62"/>
      <c r="I23" s="148" t="s">
        <v>510</v>
      </c>
    </row>
    <row r="24" spans="1:9" ht="45" customHeight="1">
      <c r="A24" s="70" t="s">
        <v>732</v>
      </c>
      <c r="B24" s="70" t="s">
        <v>501</v>
      </c>
      <c r="C24" s="71" t="s">
        <v>502</v>
      </c>
      <c r="D24" s="70" t="s">
        <v>665</v>
      </c>
      <c r="E24" s="72">
        <f>ROUND(66.62*2.5*60,2)</f>
        <v>9993</v>
      </c>
      <c r="F24" s="72">
        <v>0.11</v>
      </c>
      <c r="G24" s="72">
        <f t="shared" si="0"/>
        <v>1099.23</v>
      </c>
      <c r="H24" s="62"/>
      <c r="I24" s="148" t="s">
        <v>511</v>
      </c>
    </row>
    <row r="25" spans="1:9" ht="45" customHeight="1">
      <c r="A25" s="70" t="s">
        <v>733</v>
      </c>
      <c r="B25" s="70" t="s">
        <v>503</v>
      </c>
      <c r="C25" s="71" t="s">
        <v>675</v>
      </c>
      <c r="D25" s="70" t="s">
        <v>660</v>
      </c>
      <c r="E25" s="72">
        <f>ROUND(66.62*2.5,2)</f>
        <v>166.55</v>
      </c>
      <c r="F25" s="72">
        <v>0.61</v>
      </c>
      <c r="G25" s="72">
        <f t="shared" si="0"/>
        <v>101.6</v>
      </c>
      <c r="H25" s="62"/>
      <c r="I25" s="148" t="s">
        <v>512</v>
      </c>
    </row>
    <row r="26" spans="1:9" ht="45" customHeight="1">
      <c r="A26" s="70" t="s">
        <v>734</v>
      </c>
      <c r="B26" s="70" t="s">
        <v>504</v>
      </c>
      <c r="C26" s="71" t="s">
        <v>505</v>
      </c>
      <c r="D26" s="70" t="s">
        <v>660</v>
      </c>
      <c r="E26" s="72">
        <f>ROUND(66.62*0.9,2)</f>
        <v>59.96</v>
      </c>
      <c r="F26" s="72">
        <v>0.72</v>
      </c>
      <c r="G26" s="72">
        <f t="shared" si="0"/>
        <v>43.17</v>
      </c>
      <c r="H26" s="62"/>
      <c r="I26" s="148" t="s">
        <v>513</v>
      </c>
    </row>
    <row r="27" spans="1:9" ht="30" customHeight="1">
      <c r="A27" s="70" t="s">
        <v>735</v>
      </c>
      <c r="B27" s="70" t="s">
        <v>459</v>
      </c>
      <c r="C27" s="71" t="s">
        <v>458</v>
      </c>
      <c r="D27" s="70" t="s">
        <v>757</v>
      </c>
      <c r="E27" s="72">
        <f>ROUND(12*240,2)</f>
        <v>2880</v>
      </c>
      <c r="F27" s="72">
        <v>16.2</v>
      </c>
      <c r="G27" s="72">
        <f t="shared" si="0"/>
        <v>46656</v>
      </c>
      <c r="H27" s="62"/>
      <c r="I27" s="148" t="s">
        <v>527</v>
      </c>
    </row>
    <row r="28" spans="1:9" ht="30" customHeight="1">
      <c r="A28" s="70" t="s">
        <v>748</v>
      </c>
      <c r="B28" s="70" t="s">
        <v>767</v>
      </c>
      <c r="C28" s="71" t="s">
        <v>812</v>
      </c>
      <c r="D28" s="70" t="s">
        <v>757</v>
      </c>
      <c r="E28" s="72">
        <f>ROUND(176*8,2)</f>
        <v>1408</v>
      </c>
      <c r="F28" s="72">
        <v>23.95</v>
      </c>
      <c r="G28" s="72">
        <f t="shared" si="0"/>
        <v>33721.6</v>
      </c>
      <c r="H28" s="62"/>
      <c r="I28" s="148" t="s">
        <v>528</v>
      </c>
    </row>
    <row r="29" spans="1:9" ht="30" customHeight="1">
      <c r="A29" s="70" t="s">
        <v>506</v>
      </c>
      <c r="B29" s="70" t="s">
        <v>768</v>
      </c>
      <c r="C29" s="71" t="s">
        <v>813</v>
      </c>
      <c r="D29" s="70" t="s">
        <v>757</v>
      </c>
      <c r="E29" s="72">
        <f>ROUND(16*8,2)</f>
        <v>128</v>
      </c>
      <c r="F29" s="72">
        <v>70.56</v>
      </c>
      <c r="G29" s="72">
        <f t="shared" si="0"/>
        <v>9031.68</v>
      </c>
      <c r="H29" s="62"/>
      <c r="I29" s="148" t="s">
        <v>529</v>
      </c>
    </row>
    <row r="30" spans="1:9" ht="120" customHeight="1">
      <c r="A30" s="70" t="s">
        <v>507</v>
      </c>
      <c r="B30" s="70" t="s">
        <v>523</v>
      </c>
      <c r="C30" s="71" t="s">
        <v>524</v>
      </c>
      <c r="D30" s="70" t="s">
        <v>522</v>
      </c>
      <c r="E30" s="72">
        <v>179.1</v>
      </c>
      <c r="F30" s="72">
        <v>24.96</v>
      </c>
      <c r="G30" s="72">
        <f>ROUND(E30*F30,2)</f>
        <v>4470.34</v>
      </c>
      <c r="H30" s="62"/>
      <c r="I30" s="148" t="s">
        <v>301</v>
      </c>
    </row>
    <row r="31" spans="1:9" ht="60" customHeight="1">
      <c r="A31" s="70" t="s">
        <v>508</v>
      </c>
      <c r="B31" s="70" t="s">
        <v>769</v>
      </c>
      <c r="C31" s="71" t="s">
        <v>814</v>
      </c>
      <c r="D31" s="70" t="s">
        <v>674</v>
      </c>
      <c r="E31" s="72">
        <v>445</v>
      </c>
      <c r="F31" s="72">
        <v>14.48</v>
      </c>
      <c r="G31" s="72">
        <f t="shared" si="0"/>
        <v>6443.6</v>
      </c>
      <c r="H31" s="62"/>
      <c r="I31" s="148" t="s">
        <v>460</v>
      </c>
    </row>
    <row r="32" spans="1:9" ht="45" customHeight="1">
      <c r="A32" s="70" t="s">
        <v>521</v>
      </c>
      <c r="B32" s="70" t="s">
        <v>462</v>
      </c>
      <c r="C32" s="71" t="s">
        <v>461</v>
      </c>
      <c r="D32" s="70" t="s">
        <v>660</v>
      </c>
      <c r="E32" s="72">
        <v>15476.1</v>
      </c>
      <c r="F32" s="72">
        <v>0.92</v>
      </c>
      <c r="G32" s="72">
        <f>ROUND(E32*F32,2)</f>
        <v>14238.01</v>
      </c>
      <c r="H32" s="62"/>
      <c r="I32" s="148" t="s">
        <v>339</v>
      </c>
    </row>
    <row r="33" spans="1:9" ht="19.5" customHeight="1" thickBot="1">
      <c r="A33" s="60"/>
      <c r="B33" s="60"/>
      <c r="C33" s="73"/>
      <c r="D33" s="60"/>
      <c r="E33" s="74"/>
      <c r="F33" s="74"/>
      <c r="G33" s="74"/>
      <c r="H33" s="62"/>
      <c r="I33" s="148"/>
    </row>
    <row r="34" spans="1:11" s="8" customFormat="1" ht="19.5" customHeight="1" thickBot="1">
      <c r="A34" s="63" t="s">
        <v>670</v>
      </c>
      <c r="B34" s="64"/>
      <c r="C34" s="75" t="s">
        <v>67</v>
      </c>
      <c r="D34" s="64"/>
      <c r="E34" s="76"/>
      <c r="F34" s="76"/>
      <c r="G34" s="66">
        <f>ROUND(G35+G64,2)</f>
        <v>21745.63</v>
      </c>
      <c r="H34" s="67"/>
      <c r="I34" s="148"/>
      <c r="J34" s="12"/>
      <c r="K34" s="12"/>
    </row>
    <row r="35" spans="1:9" ht="19.5" customHeight="1">
      <c r="A35" s="77" t="s">
        <v>688</v>
      </c>
      <c r="B35" s="77"/>
      <c r="C35" s="78" t="s">
        <v>793</v>
      </c>
      <c r="D35" s="77"/>
      <c r="E35" s="79"/>
      <c r="F35" s="79"/>
      <c r="G35" s="79">
        <f>SUM(G37:G62)</f>
        <v>17881.869999999995</v>
      </c>
      <c r="H35" s="62"/>
      <c r="I35" s="148"/>
    </row>
    <row r="36" spans="1:9" ht="9.75" customHeight="1">
      <c r="A36" s="68"/>
      <c r="B36" s="68"/>
      <c r="C36" s="69"/>
      <c r="D36" s="68"/>
      <c r="E36" s="80"/>
      <c r="F36" s="80"/>
      <c r="G36" s="80"/>
      <c r="H36" s="62"/>
      <c r="I36" s="148"/>
    </row>
    <row r="37" spans="1:9" s="9" customFormat="1" ht="45" customHeight="1">
      <c r="A37" s="70" t="s">
        <v>37</v>
      </c>
      <c r="B37" s="81" t="s">
        <v>730</v>
      </c>
      <c r="C37" s="82" t="s">
        <v>713</v>
      </c>
      <c r="D37" s="81" t="s">
        <v>660</v>
      </c>
      <c r="E37" s="72">
        <f>ROUND(((4*10.15)+(3.5*5))*2,2)</f>
        <v>116.2</v>
      </c>
      <c r="F37" s="72">
        <v>6.01</v>
      </c>
      <c r="G37" s="72">
        <f aca="true" t="shared" si="1" ref="G37:G62">ROUND(E37*F37,2)</f>
        <v>698.36</v>
      </c>
      <c r="H37" s="62"/>
      <c r="I37" s="148" t="s">
        <v>641</v>
      </c>
    </row>
    <row r="38" spans="1:9" s="9" customFormat="1" ht="45" customHeight="1">
      <c r="A38" s="70" t="s">
        <v>38</v>
      </c>
      <c r="B38" s="81" t="s">
        <v>729</v>
      </c>
      <c r="C38" s="82" t="s">
        <v>712</v>
      </c>
      <c r="D38" s="81" t="s">
        <v>660</v>
      </c>
      <c r="E38" s="72">
        <f>ROUND(41.7*1.5*2,2)</f>
        <v>125.1</v>
      </c>
      <c r="F38" s="72">
        <v>5.26</v>
      </c>
      <c r="G38" s="72">
        <f t="shared" si="1"/>
        <v>658.03</v>
      </c>
      <c r="H38" s="62"/>
      <c r="I38" s="148" t="s">
        <v>642</v>
      </c>
    </row>
    <row r="39" spans="1:9" s="9" customFormat="1" ht="30" customHeight="1">
      <c r="A39" s="70" t="s">
        <v>39</v>
      </c>
      <c r="B39" s="70" t="s">
        <v>720</v>
      </c>
      <c r="C39" s="71" t="s">
        <v>830</v>
      </c>
      <c r="D39" s="70" t="s">
        <v>661</v>
      </c>
      <c r="E39" s="72">
        <v>4</v>
      </c>
      <c r="F39" s="72">
        <v>90.63</v>
      </c>
      <c r="G39" s="72">
        <f t="shared" si="1"/>
        <v>362.52</v>
      </c>
      <c r="H39" s="62"/>
      <c r="I39" s="148" t="s">
        <v>829</v>
      </c>
    </row>
    <row r="40" spans="1:9" s="9" customFormat="1" ht="15" customHeight="1">
      <c r="A40" s="70" t="s">
        <v>40</v>
      </c>
      <c r="B40" s="70" t="s">
        <v>721</v>
      </c>
      <c r="C40" s="71" t="s">
        <v>831</v>
      </c>
      <c r="D40" s="70" t="s">
        <v>661</v>
      </c>
      <c r="E40" s="72">
        <v>12</v>
      </c>
      <c r="F40" s="72">
        <v>4.89</v>
      </c>
      <c r="G40" s="72">
        <f t="shared" si="1"/>
        <v>58.68</v>
      </c>
      <c r="H40" s="62"/>
      <c r="I40" s="148" t="s">
        <v>825</v>
      </c>
    </row>
    <row r="41" spans="1:9" s="9" customFormat="1" ht="15" customHeight="1">
      <c r="A41" s="70" t="s">
        <v>41</v>
      </c>
      <c r="B41" s="70" t="s">
        <v>722</v>
      </c>
      <c r="C41" s="71" t="s">
        <v>832</v>
      </c>
      <c r="D41" s="70" t="s">
        <v>661</v>
      </c>
      <c r="E41" s="72">
        <v>12</v>
      </c>
      <c r="F41" s="72">
        <v>3.1</v>
      </c>
      <c r="G41" s="72">
        <f t="shared" si="1"/>
        <v>37.2</v>
      </c>
      <c r="H41" s="62"/>
      <c r="I41" s="148" t="s">
        <v>825</v>
      </c>
    </row>
    <row r="42" spans="1:9" s="9" customFormat="1" ht="30" customHeight="1">
      <c r="A42" s="70" t="s">
        <v>42</v>
      </c>
      <c r="B42" s="70" t="s">
        <v>719</v>
      </c>
      <c r="C42" s="71" t="s">
        <v>833</v>
      </c>
      <c r="D42" s="70" t="s">
        <v>661</v>
      </c>
      <c r="E42" s="72">
        <v>12</v>
      </c>
      <c r="F42" s="72">
        <v>24.24</v>
      </c>
      <c r="G42" s="72">
        <f t="shared" si="1"/>
        <v>290.88</v>
      </c>
      <c r="H42" s="62"/>
      <c r="I42" s="148" t="s">
        <v>825</v>
      </c>
    </row>
    <row r="43" spans="1:9" s="9" customFormat="1" ht="60" customHeight="1">
      <c r="A43" s="70" t="s">
        <v>43</v>
      </c>
      <c r="B43" s="70" t="s">
        <v>827</v>
      </c>
      <c r="C43" s="71" t="s">
        <v>834</v>
      </c>
      <c r="D43" s="70" t="s">
        <v>661</v>
      </c>
      <c r="E43" s="72">
        <v>16</v>
      </c>
      <c r="F43" s="72">
        <v>203.77</v>
      </c>
      <c r="G43" s="72">
        <f t="shared" si="1"/>
        <v>3260.32</v>
      </c>
      <c r="H43" s="62"/>
      <c r="I43" s="148" t="s">
        <v>826</v>
      </c>
    </row>
    <row r="44" spans="1:9" s="9" customFormat="1" ht="30" customHeight="1">
      <c r="A44" s="70" t="s">
        <v>44</v>
      </c>
      <c r="B44" s="70" t="s">
        <v>828</v>
      </c>
      <c r="C44" s="71" t="s">
        <v>835</v>
      </c>
      <c r="D44" s="70" t="s">
        <v>661</v>
      </c>
      <c r="E44" s="72">
        <v>16</v>
      </c>
      <c r="F44" s="72">
        <v>35.62</v>
      </c>
      <c r="G44" s="72">
        <f t="shared" si="1"/>
        <v>569.92</v>
      </c>
      <c r="H44" s="62"/>
      <c r="I44" s="148" t="s">
        <v>826</v>
      </c>
    </row>
    <row r="45" spans="1:9" s="9" customFormat="1" ht="45" customHeight="1">
      <c r="A45" s="70" t="s">
        <v>45</v>
      </c>
      <c r="B45" s="70" t="s">
        <v>727</v>
      </c>
      <c r="C45" s="71" t="s">
        <v>724</v>
      </c>
      <c r="D45" s="70" t="s">
        <v>661</v>
      </c>
      <c r="E45" s="72">
        <v>12</v>
      </c>
      <c r="F45" s="72">
        <v>31.57</v>
      </c>
      <c r="G45" s="72">
        <f t="shared" si="1"/>
        <v>378.84</v>
      </c>
      <c r="H45" s="62"/>
      <c r="I45" s="148" t="s">
        <v>825</v>
      </c>
    </row>
    <row r="46" spans="1:9" s="9" customFormat="1" ht="45" customHeight="1">
      <c r="A46" s="70" t="s">
        <v>46</v>
      </c>
      <c r="B46" s="70" t="s">
        <v>35</v>
      </c>
      <c r="C46" s="71" t="s">
        <v>34</v>
      </c>
      <c r="D46" s="70" t="s">
        <v>674</v>
      </c>
      <c r="E46" s="72">
        <v>6</v>
      </c>
      <c r="F46" s="72">
        <v>19.7</v>
      </c>
      <c r="G46" s="72">
        <f t="shared" si="1"/>
        <v>118.2</v>
      </c>
      <c r="H46" s="62"/>
      <c r="I46" s="148" t="s">
        <v>36</v>
      </c>
    </row>
    <row r="47" spans="1:9" s="9" customFormat="1" ht="60" customHeight="1">
      <c r="A47" s="70" t="s">
        <v>47</v>
      </c>
      <c r="B47" s="70" t="s">
        <v>23</v>
      </c>
      <c r="C47" s="71" t="s">
        <v>22</v>
      </c>
      <c r="D47" s="70" t="s">
        <v>660</v>
      </c>
      <c r="E47" s="72">
        <f>ROUND(1.2*1.8,2)</f>
        <v>2.16</v>
      </c>
      <c r="F47" s="72">
        <v>276.41</v>
      </c>
      <c r="G47" s="72">
        <f t="shared" si="1"/>
        <v>597.05</v>
      </c>
      <c r="H47" s="62"/>
      <c r="I47" s="148" t="s">
        <v>24</v>
      </c>
    </row>
    <row r="48" spans="1:9" s="9" customFormat="1" ht="75" customHeight="1">
      <c r="A48" s="70" t="s">
        <v>48</v>
      </c>
      <c r="B48" s="70" t="s">
        <v>26</v>
      </c>
      <c r="C48" s="71" t="s">
        <v>25</v>
      </c>
      <c r="D48" s="70" t="s">
        <v>661</v>
      </c>
      <c r="E48" s="72">
        <v>1</v>
      </c>
      <c r="F48" s="72">
        <v>109.48</v>
      </c>
      <c r="G48" s="72">
        <f t="shared" si="1"/>
        <v>109.48</v>
      </c>
      <c r="H48" s="62"/>
      <c r="I48" s="148" t="s">
        <v>27</v>
      </c>
    </row>
    <row r="49" spans="1:9" ht="45" customHeight="1">
      <c r="A49" s="70" t="s">
        <v>49</v>
      </c>
      <c r="B49" s="70" t="s">
        <v>12</v>
      </c>
      <c r="C49" s="71" t="s">
        <v>11</v>
      </c>
      <c r="D49" s="70" t="s">
        <v>660</v>
      </c>
      <c r="E49" s="72">
        <f>ROUND(0.15*0.15*35,2)</f>
        <v>0.79</v>
      </c>
      <c r="F49" s="72">
        <v>64.89</v>
      </c>
      <c r="G49" s="72">
        <f t="shared" si="1"/>
        <v>51.26</v>
      </c>
      <c r="H49" s="62"/>
      <c r="I49" s="148" t="s">
        <v>21</v>
      </c>
    </row>
    <row r="50" spans="1:9" ht="75" customHeight="1">
      <c r="A50" s="70" t="s">
        <v>50</v>
      </c>
      <c r="B50" s="70" t="s">
        <v>20</v>
      </c>
      <c r="C50" s="71" t="s">
        <v>15</v>
      </c>
      <c r="D50" s="70" t="s">
        <v>660</v>
      </c>
      <c r="E50" s="72">
        <f>ROUND(0.15*0.15*35,2)</f>
        <v>0.79</v>
      </c>
      <c r="F50" s="72">
        <v>52.84</v>
      </c>
      <c r="G50" s="72">
        <f t="shared" si="1"/>
        <v>41.74</v>
      </c>
      <c r="H50" s="62"/>
      <c r="I50" s="148" t="s">
        <v>21</v>
      </c>
    </row>
    <row r="51" spans="1:9" ht="60" customHeight="1">
      <c r="A51" s="70" t="s">
        <v>51</v>
      </c>
      <c r="B51" s="70" t="s">
        <v>687</v>
      </c>
      <c r="C51" s="71" t="s">
        <v>678</v>
      </c>
      <c r="D51" s="70" t="s">
        <v>660</v>
      </c>
      <c r="E51" s="72">
        <f>ROUND(((2+2+0.8+0.8)*0.1)+((2.1+2.1+0.8)*0.1),2)</f>
        <v>1.06</v>
      </c>
      <c r="F51" s="72">
        <v>23.46</v>
      </c>
      <c r="G51" s="72">
        <f t="shared" si="1"/>
        <v>24.87</v>
      </c>
      <c r="H51" s="62"/>
      <c r="I51" s="148" t="s">
        <v>18</v>
      </c>
    </row>
    <row r="52" spans="1:10" ht="45" customHeight="1">
      <c r="A52" s="70" t="s">
        <v>52</v>
      </c>
      <c r="B52" s="70" t="s">
        <v>13</v>
      </c>
      <c r="C52" s="71" t="s">
        <v>0</v>
      </c>
      <c r="D52" s="70" t="s">
        <v>661</v>
      </c>
      <c r="E52" s="72">
        <v>4</v>
      </c>
      <c r="F52" s="72">
        <v>13.1</v>
      </c>
      <c r="G52" s="72">
        <f t="shared" si="1"/>
        <v>52.4</v>
      </c>
      <c r="H52" s="62"/>
      <c r="I52" s="148" t="s">
        <v>1</v>
      </c>
      <c r="J52" s="31"/>
    </row>
    <row r="53" spans="1:9" ht="30" customHeight="1">
      <c r="A53" s="70" t="s">
        <v>53</v>
      </c>
      <c r="B53" s="70" t="s">
        <v>29</v>
      </c>
      <c r="C53" s="71" t="s">
        <v>28</v>
      </c>
      <c r="D53" s="70" t="s">
        <v>661</v>
      </c>
      <c r="E53" s="72">
        <v>8</v>
      </c>
      <c r="F53" s="72">
        <v>3.42</v>
      </c>
      <c r="G53" s="72">
        <f>ROUND(E53*F53,2)</f>
        <v>27.36</v>
      </c>
      <c r="H53" s="62"/>
      <c r="I53" s="148" t="s">
        <v>836</v>
      </c>
    </row>
    <row r="54" spans="1:10" ht="30" customHeight="1">
      <c r="A54" s="70" t="s">
        <v>54</v>
      </c>
      <c r="B54" s="70" t="s">
        <v>89</v>
      </c>
      <c r="C54" s="71" t="s">
        <v>30</v>
      </c>
      <c r="D54" s="70" t="s">
        <v>661</v>
      </c>
      <c r="E54" s="72">
        <v>8</v>
      </c>
      <c r="F54" s="72">
        <v>5.32</v>
      </c>
      <c r="G54" s="72">
        <f>ROUND(E54*F54,2)</f>
        <v>42.56</v>
      </c>
      <c r="H54" s="62"/>
      <c r="I54" s="148" t="s">
        <v>836</v>
      </c>
      <c r="J54" s="31"/>
    </row>
    <row r="55" spans="1:10" ht="45" customHeight="1">
      <c r="A55" s="70" t="s">
        <v>55</v>
      </c>
      <c r="B55" s="70" t="s">
        <v>19</v>
      </c>
      <c r="C55" s="71" t="s">
        <v>17</v>
      </c>
      <c r="D55" s="70" t="s">
        <v>661</v>
      </c>
      <c r="E55" s="72">
        <v>2</v>
      </c>
      <c r="F55" s="72">
        <v>507.56</v>
      </c>
      <c r="G55" s="72">
        <f t="shared" si="1"/>
        <v>1015.12</v>
      </c>
      <c r="H55" s="62"/>
      <c r="I55" s="148" t="s">
        <v>2</v>
      </c>
      <c r="J55" s="31"/>
    </row>
    <row r="56" spans="1:9" ht="90" customHeight="1">
      <c r="A56" s="70" t="s">
        <v>56</v>
      </c>
      <c r="B56" s="70" t="s">
        <v>794</v>
      </c>
      <c r="C56" s="71" t="s">
        <v>122</v>
      </c>
      <c r="D56" s="70" t="s">
        <v>661</v>
      </c>
      <c r="E56" s="72">
        <v>2</v>
      </c>
      <c r="F56" s="72">
        <v>225.14</v>
      </c>
      <c r="G56" s="72">
        <f t="shared" si="1"/>
        <v>450.28</v>
      </c>
      <c r="H56" s="62"/>
      <c r="I56" s="148" t="s">
        <v>2</v>
      </c>
    </row>
    <row r="57" spans="1:9" ht="45" customHeight="1">
      <c r="A57" s="70" t="s">
        <v>57</v>
      </c>
      <c r="B57" s="70" t="s">
        <v>838</v>
      </c>
      <c r="C57" s="71" t="s">
        <v>837</v>
      </c>
      <c r="D57" s="70" t="s">
        <v>661</v>
      </c>
      <c r="E57" s="72">
        <v>25</v>
      </c>
      <c r="F57" s="72">
        <v>237.27</v>
      </c>
      <c r="G57" s="72">
        <f t="shared" si="1"/>
        <v>5931.75</v>
      </c>
      <c r="H57" s="62"/>
      <c r="I57" s="148" t="s">
        <v>16</v>
      </c>
    </row>
    <row r="58" spans="1:9" ht="75" customHeight="1">
      <c r="A58" s="70" t="s">
        <v>58</v>
      </c>
      <c r="B58" s="70" t="s">
        <v>839</v>
      </c>
      <c r="C58" s="71" t="s">
        <v>121</v>
      </c>
      <c r="D58" s="70" t="s">
        <v>661</v>
      </c>
      <c r="E58" s="72">
        <v>25</v>
      </c>
      <c r="F58" s="72">
        <v>46.6</v>
      </c>
      <c r="G58" s="72">
        <f t="shared" si="1"/>
        <v>1165</v>
      </c>
      <c r="H58" s="62"/>
      <c r="I58" s="148" t="s">
        <v>16</v>
      </c>
    </row>
    <row r="59" spans="1:9" ht="60" customHeight="1">
      <c r="A59" s="83" t="s">
        <v>59</v>
      </c>
      <c r="B59" s="70" t="s">
        <v>14</v>
      </c>
      <c r="C59" s="71" t="s">
        <v>840</v>
      </c>
      <c r="D59" s="70" t="s">
        <v>660</v>
      </c>
      <c r="E59" s="72">
        <f>ROUND(0.8*1*2,2)</f>
        <v>1.6</v>
      </c>
      <c r="F59" s="72">
        <v>404.17</v>
      </c>
      <c r="G59" s="72">
        <f t="shared" si="1"/>
        <v>646.67</v>
      </c>
      <c r="H59" s="62"/>
      <c r="I59" s="148" t="s">
        <v>4</v>
      </c>
    </row>
    <row r="60" spans="1:9" ht="30" customHeight="1">
      <c r="A60" s="83" t="s">
        <v>60</v>
      </c>
      <c r="B60" s="70" t="s">
        <v>32</v>
      </c>
      <c r="C60" s="71" t="s">
        <v>31</v>
      </c>
      <c r="D60" s="70" t="s">
        <v>660</v>
      </c>
      <c r="E60" s="72">
        <f>ROUND(0.8*1,2)</f>
        <v>0.8</v>
      </c>
      <c r="F60" s="72">
        <v>402.07</v>
      </c>
      <c r="G60" s="72">
        <f t="shared" si="1"/>
        <v>321.66</v>
      </c>
      <c r="H60" s="62"/>
      <c r="I60" s="148" t="s">
        <v>33</v>
      </c>
    </row>
    <row r="61" spans="1:9" ht="30" customHeight="1">
      <c r="A61" s="83" t="s">
        <v>61</v>
      </c>
      <c r="B61" s="70" t="s">
        <v>743</v>
      </c>
      <c r="C61" s="71" t="s">
        <v>742</v>
      </c>
      <c r="D61" s="70" t="s">
        <v>660</v>
      </c>
      <c r="E61" s="72">
        <f>ROUND(2*0.8*3*2,2)</f>
        <v>9.6</v>
      </c>
      <c r="F61" s="72">
        <v>57.6</v>
      </c>
      <c r="G61" s="72">
        <f t="shared" si="1"/>
        <v>552.96</v>
      </c>
      <c r="H61" s="62"/>
      <c r="I61" s="148" t="s">
        <v>3</v>
      </c>
    </row>
    <row r="62" spans="1:9" ht="45" customHeight="1">
      <c r="A62" s="70" t="s">
        <v>62</v>
      </c>
      <c r="B62" s="70" t="s">
        <v>728</v>
      </c>
      <c r="C62" s="71" t="s">
        <v>714</v>
      </c>
      <c r="D62" s="70" t="s">
        <v>660</v>
      </c>
      <c r="E62" s="72">
        <f>ROUND((1.5*1.5)+(2*0.8)+(1.2*1)+(1.5*2),2)</f>
        <v>8.05</v>
      </c>
      <c r="F62" s="72">
        <v>52.02</v>
      </c>
      <c r="G62" s="72">
        <f t="shared" si="1"/>
        <v>418.76</v>
      </c>
      <c r="H62" s="62"/>
      <c r="I62" s="148" t="s">
        <v>132</v>
      </c>
    </row>
    <row r="63" spans="1:9" ht="19.5" customHeight="1">
      <c r="A63" s="68"/>
      <c r="B63" s="68"/>
      <c r="C63" s="69"/>
      <c r="D63" s="68"/>
      <c r="E63" s="80"/>
      <c r="F63" s="80"/>
      <c r="G63" s="80"/>
      <c r="H63" s="62"/>
      <c r="I63" s="148"/>
    </row>
    <row r="64" spans="1:9" ht="19.5" customHeight="1">
      <c r="A64" s="84" t="s">
        <v>736</v>
      </c>
      <c r="B64" s="84"/>
      <c r="C64" s="85" t="s">
        <v>677</v>
      </c>
      <c r="D64" s="84"/>
      <c r="E64" s="86"/>
      <c r="F64" s="86"/>
      <c r="G64" s="86">
        <f>SUM(G66:G69)</f>
        <v>3863.76</v>
      </c>
      <c r="H64" s="62"/>
      <c r="I64" s="148"/>
    </row>
    <row r="65" spans="1:9" ht="9.75" customHeight="1">
      <c r="A65" s="68"/>
      <c r="B65" s="68"/>
      <c r="C65" s="69"/>
      <c r="D65" s="68"/>
      <c r="E65" s="80"/>
      <c r="F65" s="80"/>
      <c r="G65" s="80"/>
      <c r="H65" s="62"/>
      <c r="I65" s="148"/>
    </row>
    <row r="66" spans="1:9" s="9" customFormat="1" ht="60" customHeight="1">
      <c r="A66" s="70" t="s">
        <v>63</v>
      </c>
      <c r="B66" s="70" t="s">
        <v>90</v>
      </c>
      <c r="C66" s="71" t="s">
        <v>8</v>
      </c>
      <c r="D66" s="70" t="s">
        <v>660</v>
      </c>
      <c r="E66" s="72">
        <f>ROUND(2*0.8*2.5*1,2)</f>
        <v>4</v>
      </c>
      <c r="F66" s="72">
        <v>31.03</v>
      </c>
      <c r="G66" s="72">
        <f>ROUND(E66*F66,2)</f>
        <v>124.12</v>
      </c>
      <c r="H66" s="62"/>
      <c r="I66" s="148" t="s">
        <v>9</v>
      </c>
    </row>
    <row r="67" spans="1:9" s="9" customFormat="1" ht="60" customHeight="1">
      <c r="A67" s="70" t="s">
        <v>64</v>
      </c>
      <c r="B67" s="70" t="s">
        <v>7</v>
      </c>
      <c r="C67" s="71" t="s">
        <v>6</v>
      </c>
      <c r="D67" s="70" t="s">
        <v>660</v>
      </c>
      <c r="E67" s="72">
        <f>ROUND(2*0.8*2.5*1,2)</f>
        <v>4</v>
      </c>
      <c r="F67" s="72">
        <v>5.92</v>
      </c>
      <c r="G67" s="72">
        <f>ROUND(E67*F67,2)</f>
        <v>23.68</v>
      </c>
      <c r="H67" s="62"/>
      <c r="I67" s="148" t="s">
        <v>9</v>
      </c>
    </row>
    <row r="68" spans="1:9" s="9" customFormat="1" ht="60" customHeight="1">
      <c r="A68" s="70" t="s">
        <v>65</v>
      </c>
      <c r="B68" s="70" t="s">
        <v>795</v>
      </c>
      <c r="C68" s="71" t="s">
        <v>5</v>
      </c>
      <c r="D68" s="70" t="s">
        <v>660</v>
      </c>
      <c r="E68" s="72">
        <f>ROUND((2*0.8*2.5*2)+(2*0.8*2.5*3),2)</f>
        <v>20</v>
      </c>
      <c r="F68" s="72">
        <v>12.56</v>
      </c>
      <c r="G68" s="72">
        <f>ROUND(E68*F68,2)</f>
        <v>251.2</v>
      </c>
      <c r="H68" s="62"/>
      <c r="I68" s="148" t="s">
        <v>133</v>
      </c>
    </row>
    <row r="69" spans="1:9" s="9" customFormat="1" ht="120" customHeight="1">
      <c r="A69" s="70" t="s">
        <v>66</v>
      </c>
      <c r="B69" s="70" t="s">
        <v>787</v>
      </c>
      <c r="C69" s="71" t="s">
        <v>10</v>
      </c>
      <c r="D69" s="70" t="s">
        <v>660</v>
      </c>
      <c r="E69" s="72">
        <f>ROUND(((36.5*2.5)+(41.7*0.9)+(4*10.15)+(3.5*5))*2,2)</f>
        <v>373.76</v>
      </c>
      <c r="F69" s="72">
        <v>9.27</v>
      </c>
      <c r="G69" s="72">
        <f>ROUND(E69*F69,2)</f>
        <v>3464.76</v>
      </c>
      <c r="H69" s="62"/>
      <c r="I69" s="148" t="s">
        <v>643</v>
      </c>
    </row>
    <row r="70" spans="1:9" ht="19.5" customHeight="1" thickBot="1">
      <c r="A70" s="60"/>
      <c r="B70" s="60"/>
      <c r="C70" s="73"/>
      <c r="D70" s="60"/>
      <c r="E70" s="74"/>
      <c r="F70" s="74"/>
      <c r="G70" s="74"/>
      <c r="H70" s="62"/>
      <c r="I70" s="148"/>
    </row>
    <row r="71" spans="1:11" s="8" customFormat="1" ht="19.5" customHeight="1" thickBot="1">
      <c r="A71" s="63" t="s">
        <v>671</v>
      </c>
      <c r="B71" s="64"/>
      <c r="C71" s="75" t="s">
        <v>68</v>
      </c>
      <c r="D71" s="64"/>
      <c r="E71" s="76"/>
      <c r="F71" s="76"/>
      <c r="G71" s="66">
        <f>ROUND(G72+G96,2)</f>
        <v>7156.62</v>
      </c>
      <c r="H71" s="67"/>
      <c r="I71" s="148"/>
      <c r="J71" s="12"/>
      <c r="K71" s="12"/>
    </row>
    <row r="72" spans="1:9" ht="19.5" customHeight="1">
      <c r="A72" s="77" t="s">
        <v>689</v>
      </c>
      <c r="B72" s="77"/>
      <c r="C72" s="78" t="s">
        <v>793</v>
      </c>
      <c r="D72" s="77"/>
      <c r="E72" s="79"/>
      <c r="F72" s="79"/>
      <c r="G72" s="79">
        <f>SUM(G74:G94)</f>
        <v>4479.34</v>
      </c>
      <c r="H72" s="62"/>
      <c r="I72" s="148"/>
    </row>
    <row r="73" spans="1:9" ht="9.75" customHeight="1">
      <c r="A73" s="68"/>
      <c r="B73" s="68"/>
      <c r="C73" s="69"/>
      <c r="D73" s="68"/>
      <c r="E73" s="80"/>
      <c r="F73" s="80"/>
      <c r="G73" s="80"/>
      <c r="H73" s="62"/>
      <c r="I73" s="148"/>
    </row>
    <row r="74" spans="1:9" s="9" customFormat="1" ht="45" customHeight="1">
      <c r="A74" s="70" t="s">
        <v>69</v>
      </c>
      <c r="B74" s="87" t="s">
        <v>730</v>
      </c>
      <c r="C74" s="71" t="s">
        <v>713</v>
      </c>
      <c r="D74" s="87" t="s">
        <v>660</v>
      </c>
      <c r="E74" s="72">
        <f>ROUND(((4.35*6.5)+(2*3.75)+(1.2*2.15)+(1.25*2)),2)</f>
        <v>40.86</v>
      </c>
      <c r="F74" s="72">
        <v>6.01</v>
      </c>
      <c r="G74" s="72">
        <f aca="true" t="shared" si="2" ref="G74:G93">ROUND(E74*F74,2)</f>
        <v>245.57</v>
      </c>
      <c r="H74" s="62"/>
      <c r="I74" s="148" t="s">
        <v>644</v>
      </c>
    </row>
    <row r="75" spans="1:9" s="9" customFormat="1" ht="30" customHeight="1">
      <c r="A75" s="70" t="s">
        <v>70</v>
      </c>
      <c r="B75" s="87" t="s">
        <v>729</v>
      </c>
      <c r="C75" s="71" t="s">
        <v>712</v>
      </c>
      <c r="D75" s="87" t="s">
        <v>660</v>
      </c>
      <c r="E75" s="72">
        <f>ROUND(((2.1*0.45)+(1.3*0.45)),2)</f>
        <v>1.53</v>
      </c>
      <c r="F75" s="72">
        <v>5.26</v>
      </c>
      <c r="G75" s="72">
        <f t="shared" si="2"/>
        <v>8.05</v>
      </c>
      <c r="H75" s="62"/>
      <c r="I75" s="148" t="s">
        <v>645</v>
      </c>
    </row>
    <row r="76" spans="1:9" s="9" customFormat="1" ht="30" customHeight="1">
      <c r="A76" s="70" t="s">
        <v>71</v>
      </c>
      <c r="B76" s="87" t="s">
        <v>100</v>
      </c>
      <c r="C76" s="71" t="s">
        <v>99</v>
      </c>
      <c r="D76" s="87" t="s">
        <v>660</v>
      </c>
      <c r="E76" s="72">
        <f>ROUND(1.2*0.55,2)</f>
        <v>0.66</v>
      </c>
      <c r="F76" s="72">
        <v>223.46</v>
      </c>
      <c r="G76" s="72">
        <f t="shared" si="2"/>
        <v>147.48</v>
      </c>
      <c r="H76" s="62"/>
      <c r="I76" s="148" t="s">
        <v>101</v>
      </c>
    </row>
    <row r="77" spans="1:9" s="9" customFormat="1" ht="30" customHeight="1">
      <c r="A77" s="70" t="s">
        <v>72</v>
      </c>
      <c r="B77" s="87" t="s">
        <v>107</v>
      </c>
      <c r="C77" s="71" t="s">
        <v>102</v>
      </c>
      <c r="D77" s="87" t="s">
        <v>757</v>
      </c>
      <c r="E77" s="72">
        <v>0.5</v>
      </c>
      <c r="F77" s="72">
        <v>17.3</v>
      </c>
      <c r="G77" s="72">
        <f t="shared" si="2"/>
        <v>8.65</v>
      </c>
      <c r="H77" s="62"/>
      <c r="I77" s="148" t="s">
        <v>109</v>
      </c>
    </row>
    <row r="78" spans="1:9" s="9" customFormat="1" ht="45" customHeight="1">
      <c r="A78" s="70" t="s">
        <v>73</v>
      </c>
      <c r="B78" s="70" t="s">
        <v>97</v>
      </c>
      <c r="C78" s="71" t="s">
        <v>96</v>
      </c>
      <c r="D78" s="70" t="s">
        <v>661</v>
      </c>
      <c r="E78" s="72">
        <v>1</v>
      </c>
      <c r="F78" s="72">
        <v>504.63</v>
      </c>
      <c r="G78" s="72">
        <f t="shared" si="2"/>
        <v>504.63</v>
      </c>
      <c r="H78" s="62"/>
      <c r="I78" s="148" t="s">
        <v>98</v>
      </c>
    </row>
    <row r="79" spans="1:9" s="9" customFormat="1" ht="30" customHeight="1">
      <c r="A79" s="70" t="s">
        <v>74</v>
      </c>
      <c r="B79" s="70" t="s">
        <v>114</v>
      </c>
      <c r="C79" s="71" t="s">
        <v>103</v>
      </c>
      <c r="D79" s="70" t="s">
        <v>661</v>
      </c>
      <c r="E79" s="72">
        <v>1</v>
      </c>
      <c r="F79" s="72">
        <v>29.71</v>
      </c>
      <c r="G79" s="72">
        <f t="shared" si="2"/>
        <v>29.71</v>
      </c>
      <c r="H79" s="62"/>
      <c r="I79" s="148" t="s">
        <v>98</v>
      </c>
    </row>
    <row r="80" spans="1:9" s="9" customFormat="1" ht="15" customHeight="1">
      <c r="A80" s="70" t="s">
        <v>75</v>
      </c>
      <c r="B80" s="70" t="s">
        <v>721</v>
      </c>
      <c r="C80" s="71" t="s">
        <v>831</v>
      </c>
      <c r="D80" s="70" t="s">
        <v>661</v>
      </c>
      <c r="E80" s="72">
        <v>1</v>
      </c>
      <c r="F80" s="72">
        <v>4.89</v>
      </c>
      <c r="G80" s="72">
        <f t="shared" si="2"/>
        <v>4.89</v>
      </c>
      <c r="H80" s="62"/>
      <c r="I80" s="148" t="s">
        <v>104</v>
      </c>
    </row>
    <row r="81" spans="1:9" ht="15" customHeight="1">
      <c r="A81" s="70" t="s">
        <v>76</v>
      </c>
      <c r="B81" s="70" t="s">
        <v>722</v>
      </c>
      <c r="C81" s="71" t="s">
        <v>832</v>
      </c>
      <c r="D81" s="70" t="s">
        <v>661</v>
      </c>
      <c r="E81" s="72">
        <v>1</v>
      </c>
      <c r="F81" s="72">
        <v>3.1</v>
      </c>
      <c r="G81" s="72">
        <f t="shared" si="2"/>
        <v>3.1</v>
      </c>
      <c r="H81" s="62"/>
      <c r="I81" s="148" t="s">
        <v>104</v>
      </c>
    </row>
    <row r="82" spans="1:9" ht="30" customHeight="1">
      <c r="A82" s="70" t="s">
        <v>77</v>
      </c>
      <c r="B82" s="70" t="s">
        <v>719</v>
      </c>
      <c r="C82" s="71" t="s">
        <v>833</v>
      </c>
      <c r="D82" s="70" t="s">
        <v>661</v>
      </c>
      <c r="E82" s="72">
        <v>1</v>
      </c>
      <c r="F82" s="72">
        <v>24.24</v>
      </c>
      <c r="G82" s="72">
        <f t="shared" si="2"/>
        <v>24.24</v>
      </c>
      <c r="H82" s="62"/>
      <c r="I82" s="148" t="s">
        <v>104</v>
      </c>
    </row>
    <row r="83" spans="1:9" ht="60" customHeight="1">
      <c r="A83" s="70" t="s">
        <v>78</v>
      </c>
      <c r="B83" s="70" t="s">
        <v>827</v>
      </c>
      <c r="C83" s="71" t="s">
        <v>834</v>
      </c>
      <c r="D83" s="70" t="s">
        <v>661</v>
      </c>
      <c r="E83" s="72">
        <v>1</v>
      </c>
      <c r="F83" s="72">
        <v>203.77</v>
      </c>
      <c r="G83" s="72">
        <f t="shared" si="2"/>
        <v>203.77</v>
      </c>
      <c r="H83" s="62"/>
      <c r="I83" s="148" t="s">
        <v>104</v>
      </c>
    </row>
    <row r="84" spans="1:9" ht="30" customHeight="1">
      <c r="A84" s="70" t="s">
        <v>79</v>
      </c>
      <c r="B84" s="70" t="s">
        <v>828</v>
      </c>
      <c r="C84" s="71" t="s">
        <v>835</v>
      </c>
      <c r="D84" s="70" t="s">
        <v>661</v>
      </c>
      <c r="E84" s="72">
        <v>1</v>
      </c>
      <c r="F84" s="72">
        <v>35.62</v>
      </c>
      <c r="G84" s="72">
        <f t="shared" si="2"/>
        <v>35.62</v>
      </c>
      <c r="H84" s="62"/>
      <c r="I84" s="148" t="s">
        <v>104</v>
      </c>
    </row>
    <row r="85" spans="1:9" ht="30" customHeight="1">
      <c r="A85" s="70" t="s">
        <v>80</v>
      </c>
      <c r="B85" s="70" t="s">
        <v>108</v>
      </c>
      <c r="C85" s="71" t="s">
        <v>105</v>
      </c>
      <c r="D85" s="70" t="s">
        <v>674</v>
      </c>
      <c r="E85" s="72">
        <v>3.75</v>
      </c>
      <c r="F85" s="72">
        <v>133.46</v>
      </c>
      <c r="G85" s="72">
        <f t="shared" si="2"/>
        <v>500.48</v>
      </c>
      <c r="H85" s="62"/>
      <c r="I85" s="148" t="s">
        <v>106</v>
      </c>
    </row>
    <row r="86" spans="1:9" ht="30" customHeight="1">
      <c r="A86" s="70" t="s">
        <v>81</v>
      </c>
      <c r="B86" s="70" t="s">
        <v>107</v>
      </c>
      <c r="C86" s="71" t="s">
        <v>102</v>
      </c>
      <c r="D86" s="70" t="s">
        <v>757</v>
      </c>
      <c r="E86" s="72">
        <v>0.5</v>
      </c>
      <c r="F86" s="72">
        <v>17.3</v>
      </c>
      <c r="G86" s="72">
        <f t="shared" si="2"/>
        <v>8.65</v>
      </c>
      <c r="H86" s="62"/>
      <c r="I86" s="148" t="s">
        <v>110</v>
      </c>
    </row>
    <row r="87" spans="1:9" ht="30" customHeight="1">
      <c r="A87" s="70" t="s">
        <v>82</v>
      </c>
      <c r="B87" s="70" t="s">
        <v>29</v>
      </c>
      <c r="C87" s="71" t="s">
        <v>28</v>
      </c>
      <c r="D87" s="70" t="s">
        <v>661</v>
      </c>
      <c r="E87" s="72">
        <v>7</v>
      </c>
      <c r="F87" s="72">
        <v>3.42</v>
      </c>
      <c r="G87" s="72">
        <f t="shared" si="2"/>
        <v>23.94</v>
      </c>
      <c r="H87" s="62"/>
      <c r="I87" s="148" t="s">
        <v>111</v>
      </c>
    </row>
    <row r="88" spans="1:10" ht="30" customHeight="1">
      <c r="A88" s="70" t="s">
        <v>83</v>
      </c>
      <c r="B88" s="70" t="s">
        <v>89</v>
      </c>
      <c r="C88" s="71" t="s">
        <v>30</v>
      </c>
      <c r="D88" s="70" t="s">
        <v>661</v>
      </c>
      <c r="E88" s="72">
        <v>7</v>
      </c>
      <c r="F88" s="72">
        <v>5.32</v>
      </c>
      <c r="G88" s="72">
        <f t="shared" si="2"/>
        <v>37.24</v>
      </c>
      <c r="H88" s="62"/>
      <c r="I88" s="148" t="s">
        <v>111</v>
      </c>
      <c r="J88" s="31"/>
    </row>
    <row r="89" spans="1:9" ht="105" customHeight="1">
      <c r="A89" s="70" t="s">
        <v>84</v>
      </c>
      <c r="B89" s="70" t="s">
        <v>113</v>
      </c>
      <c r="C89" s="71" t="s">
        <v>120</v>
      </c>
      <c r="D89" s="70" t="s">
        <v>661</v>
      </c>
      <c r="E89" s="72">
        <v>2</v>
      </c>
      <c r="F89" s="72">
        <v>430.91</v>
      </c>
      <c r="G89" s="72">
        <f t="shared" si="2"/>
        <v>861.82</v>
      </c>
      <c r="H89" s="62"/>
      <c r="I89" s="148" t="s">
        <v>112</v>
      </c>
    </row>
    <row r="90" spans="1:9" ht="45" customHeight="1">
      <c r="A90" s="70" t="s">
        <v>85</v>
      </c>
      <c r="B90" s="70" t="s">
        <v>117</v>
      </c>
      <c r="C90" s="71" t="s">
        <v>115</v>
      </c>
      <c r="D90" s="70" t="s">
        <v>661</v>
      </c>
      <c r="E90" s="72">
        <v>1</v>
      </c>
      <c r="F90" s="72">
        <v>386.18</v>
      </c>
      <c r="G90" s="72">
        <f t="shared" si="2"/>
        <v>386.18</v>
      </c>
      <c r="H90" s="62"/>
      <c r="I90" s="148" t="s">
        <v>116</v>
      </c>
    </row>
    <row r="91" spans="1:9" ht="90" customHeight="1">
      <c r="A91" s="70" t="s">
        <v>86</v>
      </c>
      <c r="B91" s="70" t="s">
        <v>158</v>
      </c>
      <c r="C91" s="71" t="s">
        <v>157</v>
      </c>
      <c r="D91" s="70" t="s">
        <v>661</v>
      </c>
      <c r="E91" s="72">
        <v>1</v>
      </c>
      <c r="F91" s="72">
        <v>43.88</v>
      </c>
      <c r="G91" s="72">
        <f t="shared" si="2"/>
        <v>43.88</v>
      </c>
      <c r="H91" s="62"/>
      <c r="I91" s="148" t="s">
        <v>116</v>
      </c>
    </row>
    <row r="92" spans="1:9" ht="60" customHeight="1">
      <c r="A92" s="70" t="s">
        <v>87</v>
      </c>
      <c r="B92" s="70" t="s">
        <v>741</v>
      </c>
      <c r="C92" s="71" t="s">
        <v>119</v>
      </c>
      <c r="D92" s="70" t="s">
        <v>661</v>
      </c>
      <c r="E92" s="72">
        <v>3</v>
      </c>
      <c r="F92" s="72">
        <v>171.36</v>
      </c>
      <c r="G92" s="72">
        <f t="shared" si="2"/>
        <v>514.08</v>
      </c>
      <c r="H92" s="62"/>
      <c r="I92" s="148" t="s">
        <v>118</v>
      </c>
    </row>
    <row r="93" spans="1:9" ht="45" customHeight="1">
      <c r="A93" s="70" t="s">
        <v>88</v>
      </c>
      <c r="B93" s="70" t="s">
        <v>743</v>
      </c>
      <c r="C93" s="71" t="s">
        <v>742</v>
      </c>
      <c r="D93" s="70" t="s">
        <v>660</v>
      </c>
      <c r="E93" s="72">
        <f>ROUND((1.5*1.2*3)+(0.8*0.6*2)+(1.5*2.1*2),2)</f>
        <v>12.66</v>
      </c>
      <c r="F93" s="72">
        <v>57.6</v>
      </c>
      <c r="G93" s="72">
        <f t="shared" si="2"/>
        <v>729.22</v>
      </c>
      <c r="H93" s="62"/>
      <c r="I93" s="148" t="s">
        <v>126</v>
      </c>
    </row>
    <row r="94" spans="1:9" ht="45" customHeight="1">
      <c r="A94" s="70" t="s">
        <v>131</v>
      </c>
      <c r="B94" s="70" t="s">
        <v>728</v>
      </c>
      <c r="C94" s="71" t="s">
        <v>714</v>
      </c>
      <c r="D94" s="70" t="s">
        <v>660</v>
      </c>
      <c r="E94" s="72">
        <f>ROUND((1.2*1.2)+(2*0.8),2)</f>
        <v>3.04</v>
      </c>
      <c r="F94" s="72">
        <v>52.02</v>
      </c>
      <c r="G94" s="72">
        <f>ROUND(E94*F94,2)</f>
        <v>158.14</v>
      </c>
      <c r="H94" s="62"/>
      <c r="I94" s="148" t="s">
        <v>123</v>
      </c>
    </row>
    <row r="95" spans="1:9" ht="19.5" customHeight="1">
      <c r="A95" s="88"/>
      <c r="B95" s="88"/>
      <c r="C95" s="89"/>
      <c r="D95" s="88"/>
      <c r="E95" s="90"/>
      <c r="F95" s="90"/>
      <c r="G95" s="90"/>
      <c r="H95" s="62"/>
      <c r="I95" s="148"/>
    </row>
    <row r="96" spans="1:9" ht="19.5" customHeight="1">
      <c r="A96" s="84" t="s">
        <v>690</v>
      </c>
      <c r="B96" s="84"/>
      <c r="C96" s="85" t="s">
        <v>677</v>
      </c>
      <c r="D96" s="84"/>
      <c r="E96" s="86"/>
      <c r="F96" s="86"/>
      <c r="G96" s="86">
        <f>SUM(G98:G101)</f>
        <v>2677.28</v>
      </c>
      <c r="H96" s="62"/>
      <c r="I96" s="148"/>
    </row>
    <row r="97" spans="1:9" s="9" customFormat="1" ht="9.75" customHeight="1">
      <c r="A97" s="62"/>
      <c r="B97" s="62"/>
      <c r="C97" s="82"/>
      <c r="D97" s="62"/>
      <c r="E97" s="91"/>
      <c r="F97" s="91"/>
      <c r="G97" s="91"/>
      <c r="H97" s="62"/>
      <c r="I97" s="148"/>
    </row>
    <row r="98" spans="1:9" s="9" customFormat="1" ht="60" customHeight="1">
      <c r="A98" s="70" t="s">
        <v>91</v>
      </c>
      <c r="B98" s="70" t="s">
        <v>90</v>
      </c>
      <c r="C98" s="71" t="s">
        <v>8</v>
      </c>
      <c r="D98" s="70" t="s">
        <v>660</v>
      </c>
      <c r="E98" s="72">
        <f>ROUND(0.7*2.1*2.5*1,2)</f>
        <v>3.68</v>
      </c>
      <c r="F98" s="72">
        <v>31.03</v>
      </c>
      <c r="G98" s="72">
        <f>ROUND(E98*F98,2)</f>
        <v>114.19</v>
      </c>
      <c r="H98" s="62"/>
      <c r="I98" s="148" t="s">
        <v>124</v>
      </c>
    </row>
    <row r="99" spans="1:9" s="9" customFormat="1" ht="60" customHeight="1">
      <c r="A99" s="70" t="s">
        <v>92</v>
      </c>
      <c r="B99" s="70" t="s">
        <v>7</v>
      </c>
      <c r="C99" s="71" t="s">
        <v>6</v>
      </c>
      <c r="D99" s="70" t="s">
        <v>660</v>
      </c>
      <c r="E99" s="72">
        <f>ROUND(0.7*2.1*2.5*1,2)</f>
        <v>3.68</v>
      </c>
      <c r="F99" s="72">
        <v>5.92</v>
      </c>
      <c r="G99" s="72">
        <f>ROUND(E99*F99,2)</f>
        <v>21.79</v>
      </c>
      <c r="H99" s="62"/>
      <c r="I99" s="148" t="s">
        <v>124</v>
      </c>
    </row>
    <row r="100" spans="1:9" s="9" customFormat="1" ht="90" customHeight="1">
      <c r="A100" s="70" t="s">
        <v>93</v>
      </c>
      <c r="B100" s="70" t="s">
        <v>795</v>
      </c>
      <c r="C100" s="71" t="s">
        <v>5</v>
      </c>
      <c r="D100" s="70" t="s">
        <v>660</v>
      </c>
      <c r="E100" s="72">
        <f>ROUND(((1.5*1.2*2.5*2)+(1.5*2.1*2.5*2)+(1.5*1.2*2.5)+(0.8*0.6*2.5)+(0.8*0.6*2.5)),2)</f>
        <v>31.65</v>
      </c>
      <c r="F100" s="72">
        <v>12.56</v>
      </c>
      <c r="G100" s="72">
        <f>ROUND(E100*F100,2)</f>
        <v>397.52</v>
      </c>
      <c r="H100" s="62"/>
      <c r="I100" s="148" t="s">
        <v>646</v>
      </c>
    </row>
    <row r="101" spans="1:9" s="9" customFormat="1" ht="75" customHeight="1">
      <c r="A101" s="70" t="s">
        <v>94</v>
      </c>
      <c r="B101" s="70" t="s">
        <v>787</v>
      </c>
      <c r="C101" s="71" t="s">
        <v>95</v>
      </c>
      <c r="D101" s="70" t="s">
        <v>660</v>
      </c>
      <c r="E101" s="72">
        <f>ROUND(((27.2*2.6)+(46.1*2.6)+(6.5*4.35)+(3.8*2)+(1.2*2)+(1.2*2)),2)</f>
        <v>231.26</v>
      </c>
      <c r="F101" s="72">
        <v>9.27</v>
      </c>
      <c r="G101" s="72">
        <f>ROUND(E101*F101,2)</f>
        <v>2143.78</v>
      </c>
      <c r="H101" s="62"/>
      <c r="I101" s="148" t="s">
        <v>125</v>
      </c>
    </row>
    <row r="102" spans="1:9" ht="19.5" customHeight="1" thickBot="1">
      <c r="A102" s="60"/>
      <c r="B102" s="60"/>
      <c r="C102" s="73"/>
      <c r="D102" s="60"/>
      <c r="E102" s="74"/>
      <c r="F102" s="74"/>
      <c r="G102" s="74"/>
      <c r="H102" s="62"/>
      <c r="I102" s="148"/>
    </row>
    <row r="103" spans="1:11" s="8" customFormat="1" ht="19.5" customHeight="1" thickBot="1">
      <c r="A103" s="63" t="s">
        <v>672</v>
      </c>
      <c r="B103" s="64"/>
      <c r="C103" s="75" t="s">
        <v>127</v>
      </c>
      <c r="D103" s="64"/>
      <c r="E103" s="76"/>
      <c r="F103" s="76"/>
      <c r="G103" s="66">
        <f>ROUND(G104+G119,2)</f>
        <v>5530.96</v>
      </c>
      <c r="H103" s="67"/>
      <c r="I103" s="148"/>
      <c r="J103" s="12"/>
      <c r="K103" s="12"/>
    </row>
    <row r="104" spans="1:9" ht="19.5" customHeight="1">
      <c r="A104" s="77" t="s">
        <v>691</v>
      </c>
      <c r="B104" s="77"/>
      <c r="C104" s="78" t="s">
        <v>793</v>
      </c>
      <c r="D104" s="77"/>
      <c r="E104" s="79"/>
      <c r="F104" s="79"/>
      <c r="G104" s="79">
        <f>SUM(G106:G117)</f>
        <v>4475.530000000001</v>
      </c>
      <c r="H104" s="62"/>
      <c r="I104" s="148"/>
    </row>
    <row r="105" spans="1:9" ht="9.75" customHeight="1">
      <c r="A105" s="68"/>
      <c r="B105" s="68"/>
      <c r="C105" s="69"/>
      <c r="D105" s="68"/>
      <c r="E105" s="80"/>
      <c r="F105" s="80"/>
      <c r="G105" s="80"/>
      <c r="H105" s="62"/>
      <c r="I105" s="148"/>
    </row>
    <row r="106" spans="1:9" s="9" customFormat="1" ht="15" customHeight="1">
      <c r="A106" s="70" t="s">
        <v>128</v>
      </c>
      <c r="B106" s="87" t="s">
        <v>730</v>
      </c>
      <c r="C106" s="71" t="s">
        <v>713</v>
      </c>
      <c r="D106" s="87" t="s">
        <v>660</v>
      </c>
      <c r="E106" s="72">
        <f>ROUND(1.85*1.85,2)</f>
        <v>3.42</v>
      </c>
      <c r="F106" s="72">
        <v>6.01</v>
      </c>
      <c r="G106" s="72">
        <f>ROUND(E106*F106,2)</f>
        <v>20.55</v>
      </c>
      <c r="H106" s="62"/>
      <c r="I106" s="148" t="s">
        <v>167</v>
      </c>
    </row>
    <row r="107" spans="1:9" s="9" customFormat="1" ht="30" customHeight="1">
      <c r="A107" s="70" t="s">
        <v>129</v>
      </c>
      <c r="B107" s="87" t="s">
        <v>171</v>
      </c>
      <c r="C107" s="71" t="s">
        <v>161</v>
      </c>
      <c r="D107" s="87" t="s">
        <v>661</v>
      </c>
      <c r="E107" s="72">
        <v>4</v>
      </c>
      <c r="F107" s="72">
        <v>18.26</v>
      </c>
      <c r="G107" s="72">
        <f>ROUND(E107*F107,2)</f>
        <v>73.04</v>
      </c>
      <c r="H107" s="62"/>
      <c r="I107" s="148" t="s">
        <v>168</v>
      </c>
    </row>
    <row r="108" spans="1:9" s="9" customFormat="1" ht="45" customHeight="1">
      <c r="A108" s="70" t="s">
        <v>130</v>
      </c>
      <c r="B108" s="87" t="s">
        <v>170</v>
      </c>
      <c r="C108" s="71" t="s">
        <v>172</v>
      </c>
      <c r="D108" s="87" t="s">
        <v>661</v>
      </c>
      <c r="E108" s="72">
        <v>3</v>
      </c>
      <c r="F108" s="72">
        <v>1094.74</v>
      </c>
      <c r="G108" s="72">
        <f>ROUND(E108*F108,2)</f>
        <v>3284.22</v>
      </c>
      <c r="H108" s="62"/>
      <c r="I108" s="148" t="s">
        <v>169</v>
      </c>
    </row>
    <row r="109" spans="1:9" s="9" customFormat="1" ht="75" customHeight="1">
      <c r="A109" s="70" t="s">
        <v>174</v>
      </c>
      <c r="B109" s="87" t="s">
        <v>160</v>
      </c>
      <c r="C109" s="71" t="s">
        <v>159</v>
      </c>
      <c r="D109" s="87" t="s">
        <v>661</v>
      </c>
      <c r="E109" s="72">
        <v>3</v>
      </c>
      <c r="F109" s="72">
        <v>30.86</v>
      </c>
      <c r="G109" s="72">
        <f>ROUND(E109*F109,2)</f>
        <v>92.58</v>
      </c>
      <c r="H109" s="62"/>
      <c r="I109" s="148" t="s">
        <v>169</v>
      </c>
    </row>
    <row r="110" spans="1:9" s="9" customFormat="1" ht="30" customHeight="1">
      <c r="A110" s="70" t="s">
        <v>175</v>
      </c>
      <c r="B110" s="87" t="s">
        <v>743</v>
      </c>
      <c r="C110" s="71" t="s">
        <v>742</v>
      </c>
      <c r="D110" s="87" t="s">
        <v>660</v>
      </c>
      <c r="E110" s="72">
        <v>5.4</v>
      </c>
      <c r="F110" s="72">
        <v>57.6</v>
      </c>
      <c r="G110" s="72">
        <v>311.04</v>
      </c>
      <c r="H110" s="62"/>
      <c r="I110" s="148" t="s">
        <v>649</v>
      </c>
    </row>
    <row r="111" spans="1:9" s="9" customFormat="1" ht="45" customHeight="1">
      <c r="A111" s="70" t="s">
        <v>176</v>
      </c>
      <c r="B111" s="87" t="s">
        <v>740</v>
      </c>
      <c r="C111" s="71" t="s">
        <v>738</v>
      </c>
      <c r="D111" s="87" t="s">
        <v>661</v>
      </c>
      <c r="E111" s="72">
        <v>1</v>
      </c>
      <c r="F111" s="72">
        <v>355.33</v>
      </c>
      <c r="G111" s="72">
        <f aca="true" t="shared" si="3" ref="G111:G117">ROUND(E111*F111,2)</f>
        <v>355.33</v>
      </c>
      <c r="H111" s="62"/>
      <c r="I111" s="148" t="s">
        <v>173</v>
      </c>
    </row>
    <row r="112" spans="1:9" s="9" customFormat="1" ht="90" customHeight="1">
      <c r="A112" s="70" t="s">
        <v>178</v>
      </c>
      <c r="B112" s="87" t="s">
        <v>794</v>
      </c>
      <c r="C112" s="71" t="s">
        <v>122</v>
      </c>
      <c r="D112" s="87" t="s">
        <v>661</v>
      </c>
      <c r="E112" s="72">
        <v>1</v>
      </c>
      <c r="F112" s="72">
        <v>225.14</v>
      </c>
      <c r="G112" s="72">
        <f>ROUND(E112*F112,2)</f>
        <v>225.14</v>
      </c>
      <c r="H112" s="62"/>
      <c r="I112" s="148" t="s">
        <v>173</v>
      </c>
    </row>
    <row r="113" spans="1:9" s="9" customFormat="1" ht="45" customHeight="1">
      <c r="A113" s="70" t="s">
        <v>179</v>
      </c>
      <c r="B113" s="87" t="s">
        <v>728</v>
      </c>
      <c r="C113" s="71" t="s">
        <v>714</v>
      </c>
      <c r="D113" s="87" t="s">
        <v>660</v>
      </c>
      <c r="E113" s="72">
        <f>ROUND(1.2*1.2,2)</f>
        <v>1.44</v>
      </c>
      <c r="F113" s="72">
        <v>52.02</v>
      </c>
      <c r="G113" s="72">
        <f t="shared" si="3"/>
        <v>74.91</v>
      </c>
      <c r="H113" s="62"/>
      <c r="I113" s="148" t="s">
        <v>177</v>
      </c>
    </row>
    <row r="114" spans="1:9" s="9" customFormat="1" ht="30" customHeight="1">
      <c r="A114" s="70" t="s">
        <v>180</v>
      </c>
      <c r="B114" s="87" t="s">
        <v>156</v>
      </c>
      <c r="C114" s="71" t="s">
        <v>155</v>
      </c>
      <c r="D114" s="87" t="s">
        <v>661</v>
      </c>
      <c r="E114" s="72">
        <v>2</v>
      </c>
      <c r="F114" s="72">
        <v>8.44</v>
      </c>
      <c r="G114" s="72">
        <f t="shared" si="3"/>
        <v>16.88</v>
      </c>
      <c r="H114" s="62"/>
      <c r="I114" s="148" t="s">
        <v>183</v>
      </c>
    </row>
    <row r="115" spans="1:9" s="9" customFormat="1" ht="45" customHeight="1">
      <c r="A115" s="70" t="s">
        <v>181</v>
      </c>
      <c r="B115" s="87" t="s">
        <v>13</v>
      </c>
      <c r="C115" s="71" t="s">
        <v>0</v>
      </c>
      <c r="D115" s="87" t="s">
        <v>661</v>
      </c>
      <c r="E115" s="72">
        <v>1</v>
      </c>
      <c r="F115" s="72">
        <v>13.1</v>
      </c>
      <c r="G115" s="72">
        <f t="shared" si="3"/>
        <v>13.1</v>
      </c>
      <c r="H115" s="62"/>
      <c r="I115" s="148" t="s">
        <v>184</v>
      </c>
    </row>
    <row r="116" spans="1:9" s="9" customFormat="1" ht="30" customHeight="1">
      <c r="A116" s="70" t="s">
        <v>182</v>
      </c>
      <c r="B116" s="87" t="s">
        <v>29</v>
      </c>
      <c r="C116" s="71" t="s">
        <v>28</v>
      </c>
      <c r="D116" s="87" t="s">
        <v>661</v>
      </c>
      <c r="E116" s="72">
        <v>1</v>
      </c>
      <c r="F116" s="72">
        <v>3.42</v>
      </c>
      <c r="G116" s="72">
        <f t="shared" si="3"/>
        <v>3.42</v>
      </c>
      <c r="H116" s="62"/>
      <c r="I116" s="148" t="s">
        <v>184</v>
      </c>
    </row>
    <row r="117" spans="1:9" s="9" customFormat="1" ht="30" customHeight="1">
      <c r="A117" s="70" t="s">
        <v>648</v>
      </c>
      <c r="B117" s="87" t="s">
        <v>89</v>
      </c>
      <c r="C117" s="71" t="s">
        <v>30</v>
      </c>
      <c r="D117" s="87" t="s">
        <v>661</v>
      </c>
      <c r="E117" s="72">
        <v>1</v>
      </c>
      <c r="F117" s="72">
        <v>5.32</v>
      </c>
      <c r="G117" s="72">
        <f t="shared" si="3"/>
        <v>5.32</v>
      </c>
      <c r="H117" s="62"/>
      <c r="I117" s="148" t="s">
        <v>184</v>
      </c>
    </row>
    <row r="118" spans="1:9" ht="19.5" customHeight="1">
      <c r="A118" s="92"/>
      <c r="B118" s="92"/>
      <c r="C118" s="93"/>
      <c r="D118" s="92"/>
      <c r="E118" s="94"/>
      <c r="F118" s="94"/>
      <c r="G118" s="94"/>
      <c r="H118" s="62"/>
      <c r="I118" s="148"/>
    </row>
    <row r="119" spans="1:9" ht="19.5" customHeight="1">
      <c r="A119" s="84" t="s">
        <v>692</v>
      </c>
      <c r="B119" s="84"/>
      <c r="C119" s="85" t="s">
        <v>677</v>
      </c>
      <c r="D119" s="84"/>
      <c r="E119" s="86"/>
      <c r="F119" s="86"/>
      <c r="G119" s="86">
        <f>SUM(G121:G124)</f>
        <v>1055.43</v>
      </c>
      <c r="H119" s="62"/>
      <c r="I119" s="148"/>
    </row>
    <row r="120" spans="1:9" ht="9.75" customHeight="1">
      <c r="A120" s="68"/>
      <c r="B120" s="68"/>
      <c r="C120" s="69"/>
      <c r="D120" s="68"/>
      <c r="E120" s="80"/>
      <c r="F120" s="80"/>
      <c r="G120" s="80"/>
      <c r="H120" s="62"/>
      <c r="I120" s="148"/>
    </row>
    <row r="121" spans="1:9" s="9" customFormat="1" ht="60" customHeight="1">
      <c r="A121" s="70" t="s">
        <v>134</v>
      </c>
      <c r="B121" s="70" t="s">
        <v>90</v>
      </c>
      <c r="C121" s="71" t="s">
        <v>8</v>
      </c>
      <c r="D121" s="70" t="s">
        <v>660</v>
      </c>
      <c r="E121" s="72">
        <f>ROUND((1.2*1.5*2.5*3)+(0.7*2.1*2.5),2)</f>
        <v>17.18</v>
      </c>
      <c r="F121" s="72">
        <v>31.03</v>
      </c>
      <c r="G121" s="72">
        <f>ROUND(E121*F121,2)</f>
        <v>533.1</v>
      </c>
      <c r="H121" s="62"/>
      <c r="I121" s="148" t="s">
        <v>185</v>
      </c>
    </row>
    <row r="122" spans="1:9" s="9" customFormat="1" ht="60" customHeight="1">
      <c r="A122" s="70" t="s">
        <v>135</v>
      </c>
      <c r="B122" s="70" t="s">
        <v>7</v>
      </c>
      <c r="C122" s="71" t="s">
        <v>6</v>
      </c>
      <c r="D122" s="70" t="s">
        <v>660</v>
      </c>
      <c r="E122" s="72">
        <f>ROUND((1.2*1.5*2.5*3)+(0.7*2.1*2.5),2)</f>
        <v>17.18</v>
      </c>
      <c r="F122" s="72">
        <v>5.92</v>
      </c>
      <c r="G122" s="72">
        <f>ROUND(E122*F122,2)</f>
        <v>101.71</v>
      </c>
      <c r="H122" s="62"/>
      <c r="I122" s="148" t="s">
        <v>185</v>
      </c>
    </row>
    <row r="123" spans="1:9" s="9" customFormat="1" ht="60" customHeight="1">
      <c r="A123" s="70" t="s">
        <v>136</v>
      </c>
      <c r="B123" s="70" t="s">
        <v>795</v>
      </c>
      <c r="C123" s="71" t="s">
        <v>5</v>
      </c>
      <c r="D123" s="70" t="s">
        <v>660</v>
      </c>
      <c r="E123" s="72">
        <f>ROUND(1.85*1.85,2)</f>
        <v>3.42</v>
      </c>
      <c r="F123" s="72">
        <v>12.56</v>
      </c>
      <c r="G123" s="72">
        <f>ROUND(E123*F123,2)</f>
        <v>42.96</v>
      </c>
      <c r="H123" s="62"/>
      <c r="I123" s="148" t="s">
        <v>186</v>
      </c>
    </row>
    <row r="124" spans="1:9" s="9" customFormat="1" ht="75" customHeight="1">
      <c r="A124" s="70" t="s">
        <v>137</v>
      </c>
      <c r="B124" s="70" t="s">
        <v>787</v>
      </c>
      <c r="C124" s="71" t="s">
        <v>95</v>
      </c>
      <c r="D124" s="70" t="s">
        <v>660</v>
      </c>
      <c r="E124" s="72">
        <f>ROUND((8.6*2.5)+(7.4*2.6),2)</f>
        <v>40.74</v>
      </c>
      <c r="F124" s="72">
        <v>9.27</v>
      </c>
      <c r="G124" s="72">
        <f>ROUND(E124*F124,2)</f>
        <v>377.66</v>
      </c>
      <c r="H124" s="62"/>
      <c r="I124" s="148" t="s">
        <v>187</v>
      </c>
    </row>
    <row r="125" spans="1:9" ht="19.5" customHeight="1" thickBot="1">
      <c r="A125" s="60"/>
      <c r="B125" s="60"/>
      <c r="C125" s="73"/>
      <c r="D125" s="60"/>
      <c r="E125" s="74"/>
      <c r="F125" s="74"/>
      <c r="G125" s="74"/>
      <c r="H125" s="62"/>
      <c r="I125" s="148"/>
    </row>
    <row r="126" spans="1:11" s="8" customFormat="1" ht="19.5" customHeight="1" thickBot="1">
      <c r="A126" s="63" t="s">
        <v>673</v>
      </c>
      <c r="B126" s="64"/>
      <c r="C126" s="75" t="s">
        <v>144</v>
      </c>
      <c r="D126" s="64"/>
      <c r="E126" s="76"/>
      <c r="F126" s="76"/>
      <c r="G126" s="66">
        <f>ROUND(G127+G133,2)</f>
        <v>1214</v>
      </c>
      <c r="H126" s="67"/>
      <c r="I126" s="148"/>
      <c r="J126" s="12"/>
      <c r="K126" s="12"/>
    </row>
    <row r="127" spans="1:9" ht="19.5" customHeight="1">
      <c r="A127" s="77" t="s">
        <v>744</v>
      </c>
      <c r="B127" s="77"/>
      <c r="C127" s="78" t="s">
        <v>793</v>
      </c>
      <c r="D127" s="77"/>
      <c r="E127" s="79"/>
      <c r="F127" s="79"/>
      <c r="G127" s="79">
        <f>SUM(G129:G131)</f>
        <v>594.94</v>
      </c>
      <c r="H127" s="62"/>
      <c r="I127" s="148"/>
    </row>
    <row r="128" spans="1:9" ht="9.75" customHeight="1">
      <c r="A128" s="68"/>
      <c r="B128" s="68"/>
      <c r="C128" s="69"/>
      <c r="D128" s="68"/>
      <c r="E128" s="80"/>
      <c r="F128" s="80"/>
      <c r="G128" s="80"/>
      <c r="H128" s="62"/>
      <c r="I128" s="148"/>
    </row>
    <row r="129" spans="1:9" s="9" customFormat="1" ht="60" customHeight="1">
      <c r="A129" s="70" t="s">
        <v>138</v>
      </c>
      <c r="B129" s="87" t="s">
        <v>271</v>
      </c>
      <c r="C129" s="71" t="s">
        <v>162</v>
      </c>
      <c r="D129" s="87" t="s">
        <v>660</v>
      </c>
      <c r="E129" s="72">
        <f>ROUND(0.2*0.2*3,2)</f>
        <v>0.12</v>
      </c>
      <c r="F129" s="72">
        <v>120.57</v>
      </c>
      <c r="G129" s="72">
        <f>ROUND(E129*F129,2)</f>
        <v>14.47</v>
      </c>
      <c r="H129" s="62"/>
      <c r="I129" s="148" t="s">
        <v>188</v>
      </c>
    </row>
    <row r="130" spans="1:9" s="9" customFormat="1" ht="45" customHeight="1">
      <c r="A130" s="70" t="s">
        <v>139</v>
      </c>
      <c r="B130" s="87" t="s">
        <v>739</v>
      </c>
      <c r="C130" s="71" t="s">
        <v>737</v>
      </c>
      <c r="D130" s="87" t="s">
        <v>661</v>
      </c>
      <c r="E130" s="72">
        <v>1</v>
      </c>
      <c r="F130" s="72">
        <v>355.33</v>
      </c>
      <c r="G130" s="72">
        <f>ROUND(E130*F130,2)</f>
        <v>355.33</v>
      </c>
      <c r="H130" s="62"/>
      <c r="I130" s="148" t="s">
        <v>184</v>
      </c>
    </row>
    <row r="131" spans="1:9" s="9" customFormat="1" ht="90" customHeight="1">
      <c r="A131" s="70" t="s">
        <v>140</v>
      </c>
      <c r="B131" s="87" t="s">
        <v>794</v>
      </c>
      <c r="C131" s="71" t="s">
        <v>122</v>
      </c>
      <c r="D131" s="87" t="s">
        <v>660</v>
      </c>
      <c r="E131" s="72">
        <v>1</v>
      </c>
      <c r="F131" s="72">
        <v>225.14</v>
      </c>
      <c r="G131" s="72">
        <f>ROUND(E131*F131,2)</f>
        <v>225.14</v>
      </c>
      <c r="H131" s="62"/>
      <c r="I131" s="148" t="s">
        <v>184</v>
      </c>
    </row>
    <row r="132" spans="1:9" ht="19.5" customHeight="1">
      <c r="A132" s="92"/>
      <c r="B132" s="92"/>
      <c r="C132" s="93"/>
      <c r="D132" s="92"/>
      <c r="E132" s="94"/>
      <c r="F132" s="94"/>
      <c r="G132" s="94"/>
      <c r="H132" s="62"/>
      <c r="I132" s="148"/>
    </row>
    <row r="133" spans="1:9" ht="19.5" customHeight="1">
      <c r="A133" s="84" t="s">
        <v>698</v>
      </c>
      <c r="B133" s="84"/>
      <c r="C133" s="85" t="s">
        <v>677</v>
      </c>
      <c r="D133" s="84"/>
      <c r="E133" s="86"/>
      <c r="F133" s="86"/>
      <c r="G133" s="86">
        <f>SUM(G135:G137)</f>
        <v>619.06</v>
      </c>
      <c r="H133" s="62"/>
      <c r="I133" s="148"/>
    </row>
    <row r="134" spans="1:9" ht="9.75" customHeight="1">
      <c r="A134" s="68"/>
      <c r="B134" s="68"/>
      <c r="C134" s="69"/>
      <c r="D134" s="68"/>
      <c r="E134" s="80"/>
      <c r="F134" s="80"/>
      <c r="G134" s="80"/>
      <c r="H134" s="62"/>
      <c r="I134" s="148"/>
    </row>
    <row r="135" spans="1:9" s="9" customFormat="1" ht="60" customHeight="1">
      <c r="A135" s="70" t="s">
        <v>141</v>
      </c>
      <c r="B135" s="70" t="s">
        <v>90</v>
      </c>
      <c r="C135" s="71" t="s">
        <v>8</v>
      </c>
      <c r="D135" s="70" t="s">
        <v>660</v>
      </c>
      <c r="E135" s="72">
        <f>ROUND(0.8*2.1*2.5,2)</f>
        <v>4.2</v>
      </c>
      <c r="F135" s="72">
        <v>31.03</v>
      </c>
      <c r="G135" s="72">
        <f>ROUND(E135*F135,2)</f>
        <v>130.33</v>
      </c>
      <c r="H135" s="62"/>
      <c r="I135" s="148" t="s">
        <v>190</v>
      </c>
    </row>
    <row r="136" spans="1:9" s="9" customFormat="1" ht="60" customHeight="1">
      <c r="A136" s="70" t="s">
        <v>142</v>
      </c>
      <c r="B136" s="70" t="s">
        <v>7</v>
      </c>
      <c r="C136" s="71" t="s">
        <v>6</v>
      </c>
      <c r="D136" s="70" t="s">
        <v>660</v>
      </c>
      <c r="E136" s="72">
        <f>ROUND(0.8*2.1*2.5,2)</f>
        <v>4.2</v>
      </c>
      <c r="F136" s="72">
        <v>5.92</v>
      </c>
      <c r="G136" s="72">
        <f>ROUND(E136*F136,2)</f>
        <v>24.86</v>
      </c>
      <c r="H136" s="62"/>
      <c r="I136" s="148" t="s">
        <v>190</v>
      </c>
    </row>
    <row r="137" spans="1:9" s="9" customFormat="1" ht="75" customHeight="1">
      <c r="A137" s="70" t="s">
        <v>143</v>
      </c>
      <c r="B137" s="70" t="s">
        <v>787</v>
      </c>
      <c r="C137" s="71" t="s">
        <v>95</v>
      </c>
      <c r="D137" s="70" t="s">
        <v>660</v>
      </c>
      <c r="E137" s="72">
        <f>ROUND((10.4*2.6)+(9.2*2.5),2)</f>
        <v>50.04</v>
      </c>
      <c r="F137" s="72">
        <v>9.27</v>
      </c>
      <c r="G137" s="72">
        <f>ROUND(E137*F137,2)</f>
        <v>463.87</v>
      </c>
      <c r="H137" s="62"/>
      <c r="I137" s="148" t="s">
        <v>191</v>
      </c>
    </row>
    <row r="138" spans="1:9" ht="19.5" customHeight="1" thickBot="1">
      <c r="A138" s="60"/>
      <c r="B138" s="60"/>
      <c r="C138" s="73"/>
      <c r="D138" s="60"/>
      <c r="E138" s="74"/>
      <c r="F138" s="74"/>
      <c r="G138" s="74"/>
      <c r="H138" s="62"/>
      <c r="I138" s="148"/>
    </row>
    <row r="139" spans="1:11" s="8" customFormat="1" ht="19.5" customHeight="1" thickBot="1">
      <c r="A139" s="63" t="s">
        <v>700</v>
      </c>
      <c r="B139" s="64"/>
      <c r="C139" s="75" t="s">
        <v>145</v>
      </c>
      <c r="D139" s="64"/>
      <c r="E139" s="76"/>
      <c r="F139" s="76"/>
      <c r="G139" s="66">
        <f>ROUND(G140+G145,2)</f>
        <v>1297.71</v>
      </c>
      <c r="H139" s="67"/>
      <c r="I139" s="148"/>
      <c r="J139" s="12"/>
      <c r="K139" s="12"/>
    </row>
    <row r="140" spans="1:9" ht="19.5" customHeight="1">
      <c r="A140" s="77" t="s">
        <v>701</v>
      </c>
      <c r="B140" s="77"/>
      <c r="C140" s="78" t="s">
        <v>793</v>
      </c>
      <c r="D140" s="77"/>
      <c r="E140" s="79"/>
      <c r="F140" s="79"/>
      <c r="G140" s="79">
        <f>SUM(G142:G143)</f>
        <v>697.86</v>
      </c>
      <c r="H140" s="62"/>
      <c r="I140" s="148"/>
    </row>
    <row r="141" spans="1:9" ht="9.75" customHeight="1">
      <c r="A141" s="68"/>
      <c r="B141" s="68"/>
      <c r="C141" s="69"/>
      <c r="D141" s="68"/>
      <c r="E141" s="80"/>
      <c r="F141" s="80"/>
      <c r="G141" s="80"/>
      <c r="H141" s="62"/>
      <c r="I141" s="148"/>
    </row>
    <row r="142" spans="1:9" s="9" customFormat="1" ht="45" customHeight="1">
      <c r="A142" s="70" t="s">
        <v>149</v>
      </c>
      <c r="B142" s="87" t="s">
        <v>164</v>
      </c>
      <c r="C142" s="71" t="s">
        <v>163</v>
      </c>
      <c r="D142" s="87" t="s">
        <v>661</v>
      </c>
      <c r="E142" s="72">
        <v>1</v>
      </c>
      <c r="F142" s="72">
        <v>472.72</v>
      </c>
      <c r="G142" s="72">
        <f>ROUND(E142*F142,2)</f>
        <v>472.72</v>
      </c>
      <c r="H142" s="62"/>
      <c r="I142" s="148" t="s">
        <v>184</v>
      </c>
    </row>
    <row r="143" spans="1:9" s="9" customFormat="1" ht="90" customHeight="1">
      <c r="A143" s="70" t="s">
        <v>150</v>
      </c>
      <c r="B143" s="87" t="s">
        <v>794</v>
      </c>
      <c r="C143" s="71" t="s">
        <v>122</v>
      </c>
      <c r="D143" s="87" t="s">
        <v>660</v>
      </c>
      <c r="E143" s="72">
        <v>1</v>
      </c>
      <c r="F143" s="72">
        <v>225.14</v>
      </c>
      <c r="G143" s="72">
        <f>ROUND(E143*F143,2)</f>
        <v>225.14</v>
      </c>
      <c r="H143" s="62"/>
      <c r="I143" s="148" t="s">
        <v>184</v>
      </c>
    </row>
    <row r="144" spans="1:9" ht="19.5" customHeight="1">
      <c r="A144" s="92"/>
      <c r="B144" s="92"/>
      <c r="C144" s="93"/>
      <c r="D144" s="92"/>
      <c r="E144" s="94"/>
      <c r="F144" s="94"/>
      <c r="G144" s="94"/>
      <c r="H144" s="62"/>
      <c r="I144" s="148"/>
    </row>
    <row r="145" spans="1:9" ht="19.5" customHeight="1">
      <c r="A145" s="84" t="s">
        <v>702</v>
      </c>
      <c r="B145" s="84"/>
      <c r="C145" s="85" t="s">
        <v>677</v>
      </c>
      <c r="D145" s="84"/>
      <c r="E145" s="86"/>
      <c r="F145" s="86"/>
      <c r="G145" s="86">
        <f>SUM(G147:G149)</f>
        <v>599.85</v>
      </c>
      <c r="H145" s="62"/>
      <c r="I145" s="148"/>
    </row>
    <row r="146" spans="1:9" ht="9.75" customHeight="1">
      <c r="A146" s="68"/>
      <c r="B146" s="68"/>
      <c r="C146" s="69"/>
      <c r="D146" s="68"/>
      <c r="E146" s="80"/>
      <c r="F146" s="80"/>
      <c r="G146" s="80"/>
      <c r="H146" s="62"/>
      <c r="I146" s="148"/>
    </row>
    <row r="147" spans="1:9" s="9" customFormat="1" ht="60" customHeight="1">
      <c r="A147" s="70" t="s">
        <v>146</v>
      </c>
      <c r="B147" s="70" t="s">
        <v>90</v>
      </c>
      <c r="C147" s="71" t="s">
        <v>8</v>
      </c>
      <c r="D147" s="70" t="s">
        <v>660</v>
      </c>
      <c r="E147" s="72">
        <f>ROUND(0.7*2.1*2.5,2)</f>
        <v>3.68</v>
      </c>
      <c r="F147" s="72">
        <v>31.03</v>
      </c>
      <c r="G147" s="72">
        <f>ROUND(E147*F147,2)</f>
        <v>114.19</v>
      </c>
      <c r="H147" s="62"/>
      <c r="I147" s="148" t="s">
        <v>189</v>
      </c>
    </row>
    <row r="148" spans="1:9" s="9" customFormat="1" ht="60" customHeight="1">
      <c r="A148" s="70" t="s">
        <v>147</v>
      </c>
      <c r="B148" s="70" t="s">
        <v>7</v>
      </c>
      <c r="C148" s="71" t="s">
        <v>6</v>
      </c>
      <c r="D148" s="70" t="s">
        <v>660</v>
      </c>
      <c r="E148" s="72">
        <f>ROUND(0.7*2.1*2.5,2)</f>
        <v>3.68</v>
      </c>
      <c r="F148" s="72">
        <v>5.92</v>
      </c>
      <c r="G148" s="72">
        <f>ROUND(E148*F148,2)</f>
        <v>21.79</v>
      </c>
      <c r="H148" s="62"/>
      <c r="I148" s="148" t="s">
        <v>189</v>
      </c>
    </row>
    <row r="149" spans="1:9" s="9" customFormat="1" ht="75" customHeight="1">
      <c r="A149" s="70" t="s">
        <v>148</v>
      </c>
      <c r="B149" s="70" t="s">
        <v>787</v>
      </c>
      <c r="C149" s="71" t="s">
        <v>95</v>
      </c>
      <c r="D149" s="70" t="s">
        <v>660</v>
      </c>
      <c r="E149" s="72">
        <f>ROUND((10.4*2.6)+(9.2*2.5),2)</f>
        <v>50.04</v>
      </c>
      <c r="F149" s="72">
        <v>9.27</v>
      </c>
      <c r="G149" s="72">
        <f>ROUND(E149*F149,2)</f>
        <v>463.87</v>
      </c>
      <c r="H149" s="62"/>
      <c r="I149" s="148" t="s">
        <v>192</v>
      </c>
    </row>
    <row r="150" spans="1:9" ht="19.5" customHeight="1" thickBot="1">
      <c r="A150" s="60"/>
      <c r="B150" s="60"/>
      <c r="C150" s="73"/>
      <c r="D150" s="60"/>
      <c r="E150" s="74"/>
      <c r="F150" s="74"/>
      <c r="G150" s="74"/>
      <c r="H150" s="62"/>
      <c r="I150" s="148"/>
    </row>
    <row r="151" spans="1:11" s="8" customFormat="1" ht="19.5" customHeight="1" thickBot="1">
      <c r="A151" s="63" t="s">
        <v>703</v>
      </c>
      <c r="B151" s="64"/>
      <c r="C151" s="75" t="s">
        <v>532</v>
      </c>
      <c r="D151" s="64"/>
      <c r="E151" s="76"/>
      <c r="F151" s="76"/>
      <c r="G151" s="66">
        <f>SUM(G153:G155)</f>
        <v>2094.61</v>
      </c>
      <c r="H151" s="67"/>
      <c r="I151" s="148"/>
      <c r="J151" s="12"/>
      <c r="K151" s="12"/>
    </row>
    <row r="152" spans="1:9" ht="9.75" customHeight="1">
      <c r="A152" s="68"/>
      <c r="B152" s="68"/>
      <c r="C152" s="69"/>
      <c r="D152" s="68"/>
      <c r="E152" s="80"/>
      <c r="F152" s="80"/>
      <c r="G152" s="80"/>
      <c r="H152" s="62"/>
      <c r="I152" s="148"/>
    </row>
    <row r="153" spans="1:9" s="9" customFormat="1" ht="90" customHeight="1">
      <c r="A153" s="70" t="s">
        <v>704</v>
      </c>
      <c r="B153" s="70" t="s">
        <v>795</v>
      </c>
      <c r="C153" s="71" t="s">
        <v>5</v>
      </c>
      <c r="D153" s="70" t="s">
        <v>660</v>
      </c>
      <c r="E153" s="72">
        <f>ROUND((0.8*0.6*2.5*3)+(1.5*0.8*2.5*2)+(0.6*2.1*2.5*1)+(0.8*2.1*2.5*1)+(0.8*0.6*2.5*3)+(1.5*0.8*2.5*2)+(0.6*2.1*2.5*1)+(0.8*2.1*2.5*1),2)</f>
        <v>33.9</v>
      </c>
      <c r="F153" s="72">
        <v>12.56</v>
      </c>
      <c r="G153" s="72">
        <f>ROUND(E153*F153,2)</f>
        <v>425.78</v>
      </c>
      <c r="H153" s="62"/>
      <c r="I153" s="148" t="s">
        <v>531</v>
      </c>
    </row>
    <row r="154" spans="1:9" s="9" customFormat="1" ht="75" customHeight="1">
      <c r="A154" s="70" t="s">
        <v>705</v>
      </c>
      <c r="B154" s="70" t="s">
        <v>787</v>
      </c>
      <c r="C154" s="71" t="s">
        <v>10</v>
      </c>
      <c r="D154" s="70" t="s">
        <v>660</v>
      </c>
      <c r="E154" s="72">
        <f>ROUND((14.15*2.4)+(15.25*1)+(14.15*2.4)+(15.25*1),2)</f>
        <v>98.42</v>
      </c>
      <c r="F154" s="72">
        <v>9.27</v>
      </c>
      <c r="G154" s="72">
        <f>ROUND(E154*F154,2)</f>
        <v>912.35</v>
      </c>
      <c r="H154" s="62"/>
      <c r="I154" s="148" t="s">
        <v>647</v>
      </c>
    </row>
    <row r="155" spans="1:9" ht="90" customHeight="1">
      <c r="A155" s="70" t="s">
        <v>706</v>
      </c>
      <c r="B155" s="70" t="s">
        <v>789</v>
      </c>
      <c r="C155" s="71" t="s">
        <v>790</v>
      </c>
      <c r="D155" s="70" t="s">
        <v>660</v>
      </c>
      <c r="E155" s="95">
        <f>ROUND((2.5*1*2.5*2)+(2.2*1*2.5*3)+(1.2*1*2.5*1)+(2.5*1*2.5*2)+(2.2*1*2.5*3)+(1.2*1*2.5*1),2)</f>
        <v>64</v>
      </c>
      <c r="F155" s="72">
        <v>11.82</v>
      </c>
      <c r="G155" s="72">
        <f>ROUND(E155*F155,2)</f>
        <v>756.48</v>
      </c>
      <c r="H155" s="62"/>
      <c r="I155" s="148" t="s">
        <v>533</v>
      </c>
    </row>
    <row r="156" spans="1:9" ht="19.5" customHeight="1" thickBot="1">
      <c r="A156" s="60"/>
      <c r="B156" s="60"/>
      <c r="C156" s="73"/>
      <c r="D156" s="60"/>
      <c r="E156" s="74"/>
      <c r="F156" s="74"/>
      <c r="G156" s="74"/>
      <c r="H156" s="62"/>
      <c r="I156" s="148"/>
    </row>
    <row r="157" spans="1:11" s="8" customFormat="1" ht="19.5" customHeight="1" thickBot="1">
      <c r="A157" s="96" t="s">
        <v>707</v>
      </c>
      <c r="B157" s="96"/>
      <c r="C157" s="97" t="s">
        <v>326</v>
      </c>
      <c r="D157" s="96"/>
      <c r="E157" s="98"/>
      <c r="F157" s="98"/>
      <c r="G157" s="66">
        <f>ROUND(G158+G167+G173+G201+G207,2)</f>
        <v>200660.89</v>
      </c>
      <c r="H157" s="67"/>
      <c r="I157" s="148"/>
      <c r="J157" s="12"/>
      <c r="K157" s="12"/>
    </row>
    <row r="158" spans="1:9" ht="19.5" customHeight="1">
      <c r="A158" s="77" t="s">
        <v>745</v>
      </c>
      <c r="B158" s="77"/>
      <c r="C158" s="78" t="s">
        <v>198</v>
      </c>
      <c r="D158" s="77"/>
      <c r="E158" s="79"/>
      <c r="F158" s="79"/>
      <c r="G158" s="79">
        <f>SUM(G160:G165)</f>
        <v>18152.49</v>
      </c>
      <c r="H158" s="62"/>
      <c r="I158" s="148"/>
    </row>
    <row r="159" spans="1:9" ht="9.75" customHeight="1">
      <c r="A159" s="68"/>
      <c r="B159" s="68"/>
      <c r="C159" s="69"/>
      <c r="D159" s="68"/>
      <c r="E159" s="80"/>
      <c r="F159" s="80"/>
      <c r="G159" s="80"/>
      <c r="H159" s="62"/>
      <c r="I159" s="148"/>
    </row>
    <row r="160" spans="1:9" s="9" customFormat="1" ht="30" customHeight="1">
      <c r="A160" s="70" t="s">
        <v>376</v>
      </c>
      <c r="B160" s="70" t="s">
        <v>165</v>
      </c>
      <c r="C160" s="71" t="s">
        <v>819</v>
      </c>
      <c r="D160" s="70" t="s">
        <v>699</v>
      </c>
      <c r="E160" s="72">
        <f>ROUND(25*16*0.2,2)</f>
        <v>80</v>
      </c>
      <c r="F160" s="72">
        <v>87.25</v>
      </c>
      <c r="G160" s="72">
        <f aca="true" t="shared" si="4" ref="G160:G165">ROUND(E160*F160,2)</f>
        <v>6980</v>
      </c>
      <c r="H160" s="62"/>
      <c r="I160" s="148" t="s">
        <v>193</v>
      </c>
    </row>
    <row r="161" spans="1:9" s="9" customFormat="1" ht="45" customHeight="1">
      <c r="A161" s="70" t="s">
        <v>377</v>
      </c>
      <c r="B161" s="70" t="s">
        <v>449</v>
      </c>
      <c r="C161" s="71" t="s">
        <v>447</v>
      </c>
      <c r="D161" s="70" t="s">
        <v>757</v>
      </c>
      <c r="E161" s="72">
        <f>ROUND(0.5*6.95,2)</f>
        <v>3.48</v>
      </c>
      <c r="F161" s="72">
        <v>18.63</v>
      </c>
      <c r="G161" s="72">
        <f t="shared" si="4"/>
        <v>64.83</v>
      </c>
      <c r="H161" s="62"/>
      <c r="I161" s="148" t="s">
        <v>451</v>
      </c>
    </row>
    <row r="162" spans="1:9" s="9" customFormat="1" ht="45" customHeight="1">
      <c r="A162" s="70" t="s">
        <v>378</v>
      </c>
      <c r="B162" s="70" t="s">
        <v>450</v>
      </c>
      <c r="C162" s="71" t="s">
        <v>448</v>
      </c>
      <c r="D162" s="70" t="s">
        <v>757</v>
      </c>
      <c r="E162" s="72">
        <f>ROUND(0.5*6.95,2)</f>
        <v>3.48</v>
      </c>
      <c r="F162" s="72">
        <v>12.54</v>
      </c>
      <c r="G162" s="72">
        <f t="shared" si="4"/>
        <v>43.64</v>
      </c>
      <c r="H162" s="62"/>
      <c r="I162" s="148" t="s">
        <v>451</v>
      </c>
    </row>
    <row r="163" spans="1:9" s="9" customFormat="1" ht="45" customHeight="1">
      <c r="A163" s="70" t="s">
        <v>379</v>
      </c>
      <c r="B163" s="70" t="s">
        <v>786</v>
      </c>
      <c r="C163" s="71" t="s">
        <v>822</v>
      </c>
      <c r="D163" s="70" t="s">
        <v>660</v>
      </c>
      <c r="E163" s="72">
        <f>ROUND((5*16*1)+(3.2*25*2)+(2.8*1.8*4)+((2.8*1.8)/2)*4,2)</f>
        <v>270.24</v>
      </c>
      <c r="F163" s="72">
        <v>40.6</v>
      </c>
      <c r="G163" s="72">
        <f t="shared" si="4"/>
        <v>10971.74</v>
      </c>
      <c r="H163" s="62"/>
      <c r="I163" s="148" t="s">
        <v>197</v>
      </c>
    </row>
    <row r="164" spans="1:11" s="9" customFormat="1" ht="60" customHeight="1">
      <c r="A164" s="70" t="s">
        <v>380</v>
      </c>
      <c r="B164" s="70" t="s">
        <v>254</v>
      </c>
      <c r="C164" s="71" t="s">
        <v>210</v>
      </c>
      <c r="D164" s="70" t="s">
        <v>660</v>
      </c>
      <c r="E164" s="72">
        <f>ROUND(3.1*0.6,2)</f>
        <v>1.86</v>
      </c>
      <c r="F164" s="72">
        <v>41.82</v>
      </c>
      <c r="G164" s="72">
        <f t="shared" si="4"/>
        <v>77.79</v>
      </c>
      <c r="H164" s="62"/>
      <c r="I164" s="148" t="s">
        <v>194</v>
      </c>
      <c r="K164" s="2"/>
    </row>
    <row r="165" spans="1:9" s="9" customFormat="1" ht="45" customHeight="1">
      <c r="A165" s="70" t="s">
        <v>381</v>
      </c>
      <c r="B165" s="70" t="s">
        <v>776</v>
      </c>
      <c r="C165" s="71" t="s">
        <v>166</v>
      </c>
      <c r="D165" s="70" t="s">
        <v>660</v>
      </c>
      <c r="E165" s="72">
        <f>ROUND(0.2*0.4*5,2)</f>
        <v>0.4</v>
      </c>
      <c r="F165" s="72">
        <v>36.22</v>
      </c>
      <c r="G165" s="72">
        <f t="shared" si="4"/>
        <v>14.49</v>
      </c>
      <c r="H165" s="62"/>
      <c r="I165" s="148" t="s">
        <v>195</v>
      </c>
    </row>
    <row r="166" spans="1:9" ht="19.5" customHeight="1">
      <c r="A166" s="92"/>
      <c r="B166" s="92"/>
      <c r="C166" s="93"/>
      <c r="D166" s="92"/>
      <c r="E166" s="94"/>
      <c r="F166" s="94"/>
      <c r="G166" s="94"/>
      <c r="H166" s="62"/>
      <c r="I166" s="148"/>
    </row>
    <row r="167" spans="1:9" ht="19.5" customHeight="1">
      <c r="A167" s="84" t="s">
        <v>708</v>
      </c>
      <c r="B167" s="84"/>
      <c r="C167" s="85" t="s">
        <v>327</v>
      </c>
      <c r="D167" s="84"/>
      <c r="E167" s="86"/>
      <c r="F167" s="86"/>
      <c r="G167" s="86">
        <f>SUM(G169:G171)</f>
        <v>1731.59</v>
      </c>
      <c r="H167" s="62"/>
      <c r="I167" s="148"/>
    </row>
    <row r="168" spans="1:9" ht="9.75" customHeight="1">
      <c r="A168" s="68"/>
      <c r="B168" s="68"/>
      <c r="C168" s="69"/>
      <c r="D168" s="68"/>
      <c r="E168" s="80"/>
      <c r="F168" s="80"/>
      <c r="G168" s="80"/>
      <c r="H168" s="62"/>
      <c r="I168" s="148"/>
    </row>
    <row r="169" spans="1:9" s="9" customFormat="1" ht="60" customHeight="1">
      <c r="A169" s="70" t="s">
        <v>470</v>
      </c>
      <c r="B169" s="70" t="s">
        <v>787</v>
      </c>
      <c r="C169" s="71" t="s">
        <v>788</v>
      </c>
      <c r="D169" s="70" t="s">
        <v>660</v>
      </c>
      <c r="E169" s="72">
        <f>ROUND(82*0.6*2,2)</f>
        <v>98.4</v>
      </c>
      <c r="F169" s="72">
        <v>9.27</v>
      </c>
      <c r="G169" s="72">
        <f>ROUND(E169*F169,2)</f>
        <v>912.17</v>
      </c>
      <c r="H169" s="62"/>
      <c r="I169" s="148" t="s">
        <v>196</v>
      </c>
    </row>
    <row r="170" spans="1:9" s="9" customFormat="1" ht="60" customHeight="1">
      <c r="A170" s="70" t="s">
        <v>471</v>
      </c>
      <c r="B170" s="70" t="s">
        <v>795</v>
      </c>
      <c r="C170" s="71" t="s">
        <v>5</v>
      </c>
      <c r="D170" s="70" t="s">
        <v>660</v>
      </c>
      <c r="E170" s="72">
        <f>ROUND(2.5*0.4*2,2)</f>
        <v>2</v>
      </c>
      <c r="F170" s="72">
        <v>12.56</v>
      </c>
      <c r="G170" s="72">
        <f>ROUND(E170*F170,2)</f>
        <v>25.12</v>
      </c>
      <c r="H170" s="62"/>
      <c r="I170" s="148" t="s">
        <v>330</v>
      </c>
    </row>
    <row r="171" spans="1:9" s="9" customFormat="1" ht="150" customHeight="1">
      <c r="A171" s="70" t="s">
        <v>472</v>
      </c>
      <c r="B171" s="70" t="s">
        <v>789</v>
      </c>
      <c r="C171" s="71" t="s">
        <v>790</v>
      </c>
      <c r="D171" s="70" t="s">
        <v>660</v>
      </c>
      <c r="E171" s="95">
        <f>ROUND((2*3.14*0.025*16*8)+(2*3.14*0.025*5*12)+(2*3.14*0.025*25*6)+(2*3.14*0.025*3.2*16)+(2*3.14*0.025*9.7*4),2)</f>
        <v>67.2</v>
      </c>
      <c r="F171" s="72">
        <v>11.82</v>
      </c>
      <c r="G171" s="72">
        <f>ROUND(E171*F171,2)</f>
        <v>794.3</v>
      </c>
      <c r="H171" s="62"/>
      <c r="I171" s="149" t="s">
        <v>329</v>
      </c>
    </row>
    <row r="172" spans="1:9" ht="19.5" customHeight="1">
      <c r="A172" s="99"/>
      <c r="B172" s="99"/>
      <c r="C172" s="99"/>
      <c r="D172" s="100"/>
      <c r="E172" s="99"/>
      <c r="F172" s="99"/>
      <c r="G172" s="99"/>
      <c r="H172" s="101"/>
      <c r="I172" s="148"/>
    </row>
    <row r="173" spans="1:9" ht="39.75" customHeight="1">
      <c r="A173" s="102" t="s">
        <v>534</v>
      </c>
      <c r="B173" s="102"/>
      <c r="C173" s="103" t="s">
        <v>199</v>
      </c>
      <c r="D173" s="102"/>
      <c r="E173" s="104"/>
      <c r="F173" s="104"/>
      <c r="G173" s="104">
        <f>SUM(G175:G199)</f>
        <v>149262.11000000002</v>
      </c>
      <c r="H173" s="62"/>
      <c r="I173" s="148"/>
    </row>
    <row r="174" spans="1:9" ht="9.75" customHeight="1">
      <c r="A174" s="68"/>
      <c r="B174" s="68"/>
      <c r="C174" s="69"/>
      <c r="D174" s="68"/>
      <c r="E174" s="80"/>
      <c r="F174" s="80"/>
      <c r="G174" s="80"/>
      <c r="H174" s="62"/>
      <c r="I174" s="148"/>
    </row>
    <row r="175" spans="1:9" s="9" customFormat="1" ht="45" customHeight="1">
      <c r="A175" s="70" t="s">
        <v>535</v>
      </c>
      <c r="B175" s="105" t="s">
        <v>200</v>
      </c>
      <c r="C175" s="106" t="s">
        <v>201</v>
      </c>
      <c r="D175" s="105" t="s">
        <v>699</v>
      </c>
      <c r="E175" s="72">
        <f>ROUND(25*41.34*0.3,2)</f>
        <v>310.05</v>
      </c>
      <c r="F175" s="72">
        <v>1.62</v>
      </c>
      <c r="G175" s="72">
        <f aca="true" t="shared" si="5" ref="G175:G195">ROUND(E175*F175,2)</f>
        <v>502.28</v>
      </c>
      <c r="H175" s="62"/>
      <c r="I175" s="148" t="s">
        <v>224</v>
      </c>
    </row>
    <row r="176" spans="1:9" s="9" customFormat="1" ht="30" customHeight="1">
      <c r="A176" s="70" t="s">
        <v>536</v>
      </c>
      <c r="B176" s="105" t="s">
        <v>202</v>
      </c>
      <c r="C176" s="106" t="s">
        <v>203</v>
      </c>
      <c r="D176" s="105" t="s">
        <v>699</v>
      </c>
      <c r="E176" s="72">
        <f>ROUND(25*41.34*0.1,2)</f>
        <v>103.35</v>
      </c>
      <c r="F176" s="72">
        <v>66.74</v>
      </c>
      <c r="G176" s="72">
        <f t="shared" si="5"/>
        <v>6897.58</v>
      </c>
      <c r="H176" s="62"/>
      <c r="I176" s="148" t="s">
        <v>225</v>
      </c>
    </row>
    <row r="177" spans="1:9" ht="30" customHeight="1">
      <c r="A177" s="105" t="s">
        <v>537</v>
      </c>
      <c r="B177" s="105" t="s">
        <v>204</v>
      </c>
      <c r="C177" s="106" t="s">
        <v>205</v>
      </c>
      <c r="D177" s="105" t="s">
        <v>699</v>
      </c>
      <c r="E177" s="72">
        <f>ROUND(25*41.34*0.03,2)</f>
        <v>31.01</v>
      </c>
      <c r="F177" s="72">
        <v>64.92</v>
      </c>
      <c r="G177" s="72">
        <f t="shared" si="5"/>
        <v>2013.17</v>
      </c>
      <c r="H177" s="62"/>
      <c r="I177" s="148" t="s">
        <v>226</v>
      </c>
    </row>
    <row r="178" spans="1:9" ht="30" customHeight="1">
      <c r="A178" s="105" t="s">
        <v>538</v>
      </c>
      <c r="B178" s="105" t="s">
        <v>208</v>
      </c>
      <c r="C178" s="106" t="s">
        <v>209</v>
      </c>
      <c r="D178" s="105" t="s">
        <v>660</v>
      </c>
      <c r="E178" s="72">
        <f>E180</f>
        <v>1008.7</v>
      </c>
      <c r="F178" s="72">
        <v>1.1</v>
      </c>
      <c r="G178" s="72">
        <f>ROUND(E178*F178,2)</f>
        <v>1109.57</v>
      </c>
      <c r="H178" s="62"/>
      <c r="I178" s="148" t="s">
        <v>229</v>
      </c>
    </row>
    <row r="179" spans="1:9" ht="75" customHeight="1">
      <c r="A179" s="105" t="s">
        <v>539</v>
      </c>
      <c r="B179" s="105" t="s">
        <v>751</v>
      </c>
      <c r="C179" s="106" t="s">
        <v>749</v>
      </c>
      <c r="D179" s="105" t="s">
        <v>750</v>
      </c>
      <c r="E179" s="72">
        <f>ROUND((E176*1.5*1*60)+(E177*1.5*1*60),2)</f>
        <v>12092.4</v>
      </c>
      <c r="F179" s="72">
        <v>0.48</v>
      </c>
      <c r="G179" s="72">
        <f t="shared" si="5"/>
        <v>5804.35</v>
      </c>
      <c r="H179" s="62"/>
      <c r="I179" s="148" t="s">
        <v>227</v>
      </c>
    </row>
    <row r="180" spans="1:9" ht="135" customHeight="1">
      <c r="A180" s="105" t="s">
        <v>540</v>
      </c>
      <c r="B180" s="107" t="s">
        <v>206</v>
      </c>
      <c r="C180" s="106" t="s">
        <v>207</v>
      </c>
      <c r="D180" s="105" t="s">
        <v>660</v>
      </c>
      <c r="E180" s="72">
        <f>ROUND((25*41.34)-(41.34*0.3*2),2)</f>
        <v>1008.7</v>
      </c>
      <c r="F180" s="72">
        <v>99</v>
      </c>
      <c r="G180" s="72">
        <f t="shared" si="5"/>
        <v>99861.3</v>
      </c>
      <c r="H180" s="62"/>
      <c r="I180" s="148" t="s">
        <v>228</v>
      </c>
    </row>
    <row r="181" spans="1:9" ht="45" customHeight="1">
      <c r="A181" s="105" t="s">
        <v>541</v>
      </c>
      <c r="B181" s="105" t="s">
        <v>779</v>
      </c>
      <c r="C181" s="106" t="s">
        <v>240</v>
      </c>
      <c r="D181" s="105" t="s">
        <v>699</v>
      </c>
      <c r="E181" s="72">
        <f>ROUND(41.34*0.5*0.3*2,2)</f>
        <v>12.4</v>
      </c>
      <c r="F181" s="72">
        <v>43.91</v>
      </c>
      <c r="G181" s="72">
        <f t="shared" si="5"/>
        <v>544.48</v>
      </c>
      <c r="H181" s="62"/>
      <c r="I181" s="148" t="s">
        <v>238</v>
      </c>
    </row>
    <row r="182" spans="1:9" ht="60" customHeight="1">
      <c r="A182" s="105" t="s">
        <v>542</v>
      </c>
      <c r="B182" s="105" t="s">
        <v>754</v>
      </c>
      <c r="C182" s="106" t="s">
        <v>243</v>
      </c>
      <c r="D182" s="105" t="s">
        <v>699</v>
      </c>
      <c r="E182" s="72">
        <f>ROUND(41.34*0.3*0.07*2,2)</f>
        <v>1.74</v>
      </c>
      <c r="F182" s="72">
        <v>350.72</v>
      </c>
      <c r="G182" s="72">
        <f t="shared" si="5"/>
        <v>610.25</v>
      </c>
      <c r="H182" s="62"/>
      <c r="I182" s="148" t="s">
        <v>239</v>
      </c>
    </row>
    <row r="183" spans="1:9" ht="60" customHeight="1">
      <c r="A183" s="105" t="s">
        <v>543</v>
      </c>
      <c r="B183" s="105" t="s">
        <v>753</v>
      </c>
      <c r="C183" s="106" t="s">
        <v>241</v>
      </c>
      <c r="D183" s="105" t="s">
        <v>693</v>
      </c>
      <c r="E183" s="72">
        <f>ROUND(2*41.34*2*0.25,2)</f>
        <v>41.34</v>
      </c>
      <c r="F183" s="72">
        <v>3.5</v>
      </c>
      <c r="G183" s="72">
        <f t="shared" si="5"/>
        <v>144.69</v>
      </c>
      <c r="H183" s="62"/>
      <c r="I183" s="148" t="s">
        <v>242</v>
      </c>
    </row>
    <row r="184" spans="1:9" ht="75" customHeight="1">
      <c r="A184" s="105" t="s">
        <v>544</v>
      </c>
      <c r="B184" s="105" t="s">
        <v>453</v>
      </c>
      <c r="C184" s="106" t="s">
        <v>755</v>
      </c>
      <c r="D184" s="105" t="s">
        <v>699</v>
      </c>
      <c r="E184" s="72">
        <f>ROUND(0.12*0.25*15.6,2)</f>
        <v>0.47</v>
      </c>
      <c r="F184" s="72">
        <v>1417.48</v>
      </c>
      <c r="G184" s="72">
        <f>ROUND(E184*F184,2)</f>
        <v>666.22</v>
      </c>
      <c r="H184" s="62"/>
      <c r="I184" s="148" t="s">
        <v>452</v>
      </c>
    </row>
    <row r="185" spans="1:9" ht="60" customHeight="1">
      <c r="A185" s="105" t="s">
        <v>545</v>
      </c>
      <c r="B185" s="105" t="s">
        <v>254</v>
      </c>
      <c r="C185" s="106" t="s">
        <v>210</v>
      </c>
      <c r="D185" s="105" t="s">
        <v>660</v>
      </c>
      <c r="E185" s="72">
        <f>ROUND((41.34*0.2*2)+(15.6*0.6)+(3.1*0.6)+(3.1*0.2),2)</f>
        <v>28.38</v>
      </c>
      <c r="F185" s="72">
        <v>41.82</v>
      </c>
      <c r="G185" s="72">
        <f t="shared" si="5"/>
        <v>1186.85</v>
      </c>
      <c r="H185" s="62"/>
      <c r="I185" s="148" t="s">
        <v>256</v>
      </c>
    </row>
    <row r="186" spans="1:9" ht="60" customHeight="1">
      <c r="A186" s="105" t="s">
        <v>546</v>
      </c>
      <c r="B186" s="105" t="s">
        <v>754</v>
      </c>
      <c r="C186" s="106" t="s">
        <v>752</v>
      </c>
      <c r="D186" s="105" t="s">
        <v>699</v>
      </c>
      <c r="E186" s="72">
        <f>ROUND(41.34*0.075*0.15*2,2)</f>
        <v>0.93</v>
      </c>
      <c r="F186" s="72">
        <v>350.72</v>
      </c>
      <c r="G186" s="72">
        <f t="shared" si="5"/>
        <v>326.17</v>
      </c>
      <c r="H186" s="62"/>
      <c r="I186" s="148" t="s">
        <v>244</v>
      </c>
    </row>
    <row r="187" spans="1:9" ht="75" customHeight="1">
      <c r="A187" s="105" t="s">
        <v>547</v>
      </c>
      <c r="B187" s="105" t="s">
        <v>211</v>
      </c>
      <c r="C187" s="106" t="s">
        <v>212</v>
      </c>
      <c r="D187" s="105" t="s">
        <v>660</v>
      </c>
      <c r="E187" s="72">
        <f>ROUND(0.7*41.34*2,2)</f>
        <v>57.88</v>
      </c>
      <c r="F187" s="72">
        <v>16.3</v>
      </c>
      <c r="G187" s="72">
        <f t="shared" si="5"/>
        <v>943.44</v>
      </c>
      <c r="H187" s="62"/>
      <c r="I187" s="148" t="s">
        <v>255</v>
      </c>
    </row>
    <row r="188" spans="1:9" ht="45" customHeight="1">
      <c r="A188" s="105" t="s">
        <v>548</v>
      </c>
      <c r="B188" s="105" t="s">
        <v>774</v>
      </c>
      <c r="C188" s="106" t="s">
        <v>775</v>
      </c>
      <c r="D188" s="105" t="s">
        <v>674</v>
      </c>
      <c r="E188" s="72">
        <f>ROUND(41.34*2,2)</f>
        <v>82.68</v>
      </c>
      <c r="F188" s="72">
        <v>72.06</v>
      </c>
      <c r="G188" s="72">
        <f t="shared" si="5"/>
        <v>5957.92</v>
      </c>
      <c r="H188" s="62"/>
      <c r="I188" s="148" t="s">
        <v>230</v>
      </c>
    </row>
    <row r="189" spans="1:9" ht="30" customHeight="1">
      <c r="A189" s="105" t="s">
        <v>549</v>
      </c>
      <c r="B189" s="105" t="s">
        <v>778</v>
      </c>
      <c r="C189" s="106" t="s">
        <v>213</v>
      </c>
      <c r="D189" s="105" t="s">
        <v>660</v>
      </c>
      <c r="E189" s="72">
        <f>ROUND((30*0.4)+(24*0.4),2)</f>
        <v>21.6</v>
      </c>
      <c r="F189" s="72">
        <v>4.52</v>
      </c>
      <c r="G189" s="72">
        <f t="shared" si="5"/>
        <v>97.63</v>
      </c>
      <c r="H189" s="62"/>
      <c r="I189" s="148" t="s">
        <v>253</v>
      </c>
    </row>
    <row r="190" spans="1:9" ht="30" customHeight="1">
      <c r="A190" s="105" t="s">
        <v>550</v>
      </c>
      <c r="B190" s="105" t="s">
        <v>214</v>
      </c>
      <c r="C190" s="106" t="s">
        <v>215</v>
      </c>
      <c r="D190" s="105" t="s">
        <v>757</v>
      </c>
      <c r="E190" s="72">
        <v>8</v>
      </c>
      <c r="F190" s="72">
        <v>17.3</v>
      </c>
      <c r="G190" s="72">
        <f t="shared" si="5"/>
        <v>138.4</v>
      </c>
      <c r="H190" s="62"/>
      <c r="I190" s="148" t="s">
        <v>455</v>
      </c>
    </row>
    <row r="191" spans="1:9" ht="75" customHeight="1">
      <c r="A191" s="105" t="s">
        <v>551</v>
      </c>
      <c r="B191" s="105" t="s">
        <v>245</v>
      </c>
      <c r="C191" s="106" t="s">
        <v>246</v>
      </c>
      <c r="D191" s="105" t="s">
        <v>661</v>
      </c>
      <c r="E191" s="72">
        <v>2</v>
      </c>
      <c r="F191" s="72">
        <v>52.58</v>
      </c>
      <c r="G191" s="72">
        <f t="shared" si="5"/>
        <v>105.16</v>
      </c>
      <c r="H191" s="62"/>
      <c r="I191" s="148" t="s">
        <v>232</v>
      </c>
    </row>
    <row r="192" spans="1:9" ht="45" customHeight="1">
      <c r="A192" s="105" t="s">
        <v>552</v>
      </c>
      <c r="B192" s="105" t="s">
        <v>250</v>
      </c>
      <c r="C192" s="106" t="s">
        <v>251</v>
      </c>
      <c r="D192" s="105" t="s">
        <v>674</v>
      </c>
      <c r="E192" s="72">
        <v>4</v>
      </c>
      <c r="F192" s="72">
        <v>12.62</v>
      </c>
      <c r="G192" s="72">
        <f>ROUND(E192*F192,2)</f>
        <v>50.48</v>
      </c>
      <c r="H192" s="62"/>
      <c r="I192" s="148" t="s">
        <v>252</v>
      </c>
    </row>
    <row r="193" spans="1:9" ht="90" customHeight="1">
      <c r="A193" s="105" t="s">
        <v>553</v>
      </c>
      <c r="B193" s="105" t="s">
        <v>249</v>
      </c>
      <c r="C193" s="106" t="s">
        <v>233</v>
      </c>
      <c r="D193" s="105" t="s">
        <v>661</v>
      </c>
      <c r="E193" s="72">
        <v>2</v>
      </c>
      <c r="F193" s="72">
        <v>100.7</v>
      </c>
      <c r="G193" s="72">
        <f>ROUND(E193*F193,2)</f>
        <v>201.4</v>
      </c>
      <c r="H193" s="62"/>
      <c r="I193" s="148" t="s">
        <v>236</v>
      </c>
    </row>
    <row r="194" spans="1:9" ht="75" customHeight="1">
      <c r="A194" s="105" t="s">
        <v>554</v>
      </c>
      <c r="B194" s="105" t="s">
        <v>248</v>
      </c>
      <c r="C194" s="106" t="s">
        <v>234</v>
      </c>
      <c r="D194" s="105" t="s">
        <v>661</v>
      </c>
      <c r="E194" s="72">
        <v>2</v>
      </c>
      <c r="F194" s="72">
        <v>175.18</v>
      </c>
      <c r="G194" s="72">
        <f>ROUND(E194*F194,2)</f>
        <v>350.36</v>
      </c>
      <c r="H194" s="62"/>
      <c r="I194" s="148" t="s">
        <v>235</v>
      </c>
    </row>
    <row r="195" spans="1:9" ht="45" customHeight="1">
      <c r="A195" s="105" t="s">
        <v>555</v>
      </c>
      <c r="B195" s="105" t="s">
        <v>35</v>
      </c>
      <c r="C195" s="106" t="s">
        <v>247</v>
      </c>
      <c r="D195" s="105" t="s">
        <v>674</v>
      </c>
      <c r="E195" s="72">
        <f>ROUND(30+24,2)</f>
        <v>54</v>
      </c>
      <c r="F195" s="72">
        <v>19.7</v>
      </c>
      <c r="G195" s="72">
        <f t="shared" si="5"/>
        <v>1063.8</v>
      </c>
      <c r="H195" s="62"/>
      <c r="I195" s="148" t="s">
        <v>237</v>
      </c>
    </row>
    <row r="196" spans="1:9" ht="45" customHeight="1">
      <c r="A196" s="105" t="s">
        <v>556</v>
      </c>
      <c r="B196" s="70" t="s">
        <v>776</v>
      </c>
      <c r="C196" s="71" t="s">
        <v>166</v>
      </c>
      <c r="D196" s="70" t="s">
        <v>660</v>
      </c>
      <c r="E196" s="72">
        <f>ROUND(0.2*0.4*3,2)</f>
        <v>0.24</v>
      </c>
      <c r="F196" s="72">
        <v>36.22</v>
      </c>
      <c r="G196" s="72">
        <f>ROUND(E196*F196,2)</f>
        <v>8.69</v>
      </c>
      <c r="H196" s="62"/>
      <c r="I196" s="148" t="s">
        <v>257</v>
      </c>
    </row>
    <row r="197" spans="1:9" ht="75" customHeight="1">
      <c r="A197" s="70" t="s">
        <v>557</v>
      </c>
      <c r="B197" s="70" t="s">
        <v>786</v>
      </c>
      <c r="C197" s="71" t="s">
        <v>216</v>
      </c>
      <c r="D197" s="70" t="s">
        <v>660</v>
      </c>
      <c r="E197" s="72">
        <f>ROUND((25*5*2)+(41.34*3.2*2)+(3.2*1.8*4)+((6.4*1.8)/2)*4,2)</f>
        <v>560.66</v>
      </c>
      <c r="F197" s="72">
        <v>40.6</v>
      </c>
      <c r="G197" s="72">
        <v>17488.1</v>
      </c>
      <c r="H197" s="62"/>
      <c r="I197" s="148" t="s">
        <v>231</v>
      </c>
    </row>
    <row r="198" spans="1:9" ht="60" customHeight="1">
      <c r="A198" s="70" t="s">
        <v>558</v>
      </c>
      <c r="B198" s="70" t="s">
        <v>217</v>
      </c>
      <c r="C198" s="71" t="s">
        <v>218</v>
      </c>
      <c r="D198" s="70" t="s">
        <v>219</v>
      </c>
      <c r="E198" s="72">
        <v>2</v>
      </c>
      <c r="F198" s="72">
        <v>1946.71</v>
      </c>
      <c r="G198" s="72">
        <v>3101.22</v>
      </c>
      <c r="H198" s="62"/>
      <c r="I198" s="148" t="s">
        <v>220</v>
      </c>
    </row>
    <row r="199" spans="1:9" ht="15" customHeight="1">
      <c r="A199" s="70" t="s">
        <v>559</v>
      </c>
      <c r="B199" s="70" t="s">
        <v>221</v>
      </c>
      <c r="C199" s="71" t="s">
        <v>222</v>
      </c>
      <c r="D199" s="70" t="s">
        <v>223</v>
      </c>
      <c r="E199" s="72">
        <v>2</v>
      </c>
      <c r="F199" s="72">
        <v>48.4</v>
      </c>
      <c r="G199" s="72">
        <v>88.6</v>
      </c>
      <c r="H199" s="62"/>
      <c r="I199" s="148" t="s">
        <v>220</v>
      </c>
    </row>
    <row r="200" spans="1:9" ht="19.5" customHeight="1">
      <c r="A200" s="92"/>
      <c r="B200" s="92"/>
      <c r="C200" s="93"/>
      <c r="D200" s="92"/>
      <c r="E200" s="94"/>
      <c r="F200" s="94"/>
      <c r="G200" s="94"/>
      <c r="H200" s="62"/>
      <c r="I200" s="148"/>
    </row>
    <row r="201" spans="1:9" ht="19.5" customHeight="1">
      <c r="A201" s="84" t="s">
        <v>560</v>
      </c>
      <c r="B201" s="84"/>
      <c r="C201" s="85" t="s">
        <v>328</v>
      </c>
      <c r="D201" s="84"/>
      <c r="E201" s="86"/>
      <c r="F201" s="86"/>
      <c r="G201" s="86">
        <f>SUM(G203:G205)</f>
        <v>2643.0199999999995</v>
      </c>
      <c r="H201" s="62"/>
      <c r="I201" s="148"/>
    </row>
    <row r="202" spans="1:9" ht="9.75" customHeight="1">
      <c r="A202" s="68"/>
      <c r="B202" s="68"/>
      <c r="C202" s="69"/>
      <c r="D202" s="68"/>
      <c r="E202" s="80"/>
      <c r="F202" s="80"/>
      <c r="G202" s="80"/>
      <c r="H202" s="62"/>
      <c r="I202" s="148"/>
    </row>
    <row r="203" spans="1:9" ht="60" customHeight="1">
      <c r="A203" s="70" t="s">
        <v>561</v>
      </c>
      <c r="B203" s="70" t="s">
        <v>787</v>
      </c>
      <c r="C203" s="71" t="s">
        <v>788</v>
      </c>
      <c r="D203" s="70" t="s">
        <v>660</v>
      </c>
      <c r="E203" s="72">
        <f>ROUND(107.68*0.6*2,2)</f>
        <v>129.22</v>
      </c>
      <c r="F203" s="72">
        <v>9.27</v>
      </c>
      <c r="G203" s="72">
        <f>ROUND(E203*F203,2)</f>
        <v>1197.87</v>
      </c>
      <c r="H203" s="62"/>
      <c r="I203" s="148" t="s">
        <v>332</v>
      </c>
    </row>
    <row r="204" spans="1:9" ht="45" customHeight="1">
      <c r="A204" s="70" t="s">
        <v>562</v>
      </c>
      <c r="B204" s="70" t="s">
        <v>697</v>
      </c>
      <c r="C204" s="71" t="s">
        <v>695</v>
      </c>
      <c r="D204" s="70" t="s">
        <v>660</v>
      </c>
      <c r="E204" s="95">
        <f>ROUND(2*3.14*0.05*14.4*2,2)</f>
        <v>9.04</v>
      </c>
      <c r="F204" s="72">
        <v>14.23</v>
      </c>
      <c r="G204" s="72">
        <f>ROUND(E204*F204,2)</f>
        <v>128.64</v>
      </c>
      <c r="H204" s="62"/>
      <c r="I204" s="149" t="s">
        <v>333</v>
      </c>
    </row>
    <row r="205" spans="1:9" ht="150" customHeight="1">
      <c r="A205" s="70" t="s">
        <v>563</v>
      </c>
      <c r="B205" s="70" t="s">
        <v>789</v>
      </c>
      <c r="C205" s="71" t="s">
        <v>790</v>
      </c>
      <c r="D205" s="70" t="s">
        <v>660</v>
      </c>
      <c r="E205" s="95">
        <f>ROUND((2*3.14*0.025*34*8)+(2*3.14*0.025*5*12)+(2*3.14*0.025*41.5*6)+(2*3.14*0.025*3.2*28)+(2*3.14*0.025*9.7*4),2)</f>
        <v>111.38</v>
      </c>
      <c r="F205" s="72">
        <v>11.82</v>
      </c>
      <c r="G205" s="72">
        <f>ROUND(E205*F205,2)</f>
        <v>1316.51</v>
      </c>
      <c r="H205" s="62"/>
      <c r="I205" s="149" t="s">
        <v>331</v>
      </c>
    </row>
    <row r="206" spans="1:9" ht="19.5" customHeight="1">
      <c r="A206" s="92"/>
      <c r="B206" s="92"/>
      <c r="C206" s="93"/>
      <c r="D206" s="92"/>
      <c r="E206" s="94"/>
      <c r="F206" s="94"/>
      <c r="G206" s="94"/>
      <c r="H206" s="62"/>
      <c r="I206" s="148"/>
    </row>
    <row r="207" spans="1:9" ht="19.5" customHeight="1">
      <c r="A207" s="84" t="s">
        <v>564</v>
      </c>
      <c r="B207" s="84"/>
      <c r="C207" s="85" t="s">
        <v>334</v>
      </c>
      <c r="D207" s="84"/>
      <c r="E207" s="86"/>
      <c r="F207" s="86"/>
      <c r="G207" s="86">
        <f>SUM(G209:G228)</f>
        <v>28871.680000000008</v>
      </c>
      <c r="H207" s="62"/>
      <c r="I207" s="148"/>
    </row>
    <row r="208" spans="1:9" ht="9.75" customHeight="1">
      <c r="A208" s="68"/>
      <c r="B208" s="68"/>
      <c r="C208" s="69"/>
      <c r="D208" s="68"/>
      <c r="E208" s="80"/>
      <c r="F208" s="80"/>
      <c r="G208" s="80"/>
      <c r="H208" s="62"/>
      <c r="I208" s="148"/>
    </row>
    <row r="209" spans="1:9" ht="105" customHeight="1">
      <c r="A209" s="70" t="s">
        <v>565</v>
      </c>
      <c r="B209" s="87" t="s">
        <v>779</v>
      </c>
      <c r="C209" s="71" t="s">
        <v>258</v>
      </c>
      <c r="D209" s="70" t="s">
        <v>699</v>
      </c>
      <c r="E209" s="72">
        <f>ROUND((50*0.2*0.6)+(65*0.2*0.6)+(100*0.2*0.6)+(0.8*0.8*0.6*12),2)</f>
        <v>30.41</v>
      </c>
      <c r="F209" s="72">
        <v>43.91</v>
      </c>
      <c r="G209" s="72">
        <v>2698.71</v>
      </c>
      <c r="H209" s="62"/>
      <c r="I209" s="148" t="s">
        <v>311</v>
      </c>
    </row>
    <row r="210" spans="1:9" ht="45" customHeight="1">
      <c r="A210" s="70" t="s">
        <v>566</v>
      </c>
      <c r="B210" s="87" t="s">
        <v>756</v>
      </c>
      <c r="C210" s="71" t="s">
        <v>259</v>
      </c>
      <c r="D210" s="70" t="s">
        <v>699</v>
      </c>
      <c r="E210" s="72">
        <f>E209*0.8</f>
        <v>24.328000000000003</v>
      </c>
      <c r="F210" s="72">
        <v>27.12</v>
      </c>
      <c r="G210" s="72">
        <v>1333.44</v>
      </c>
      <c r="H210" s="62"/>
      <c r="I210" s="148" t="s">
        <v>272</v>
      </c>
    </row>
    <row r="211" spans="1:9" ht="45" customHeight="1">
      <c r="A211" s="70" t="s">
        <v>567</v>
      </c>
      <c r="B211" s="87" t="s">
        <v>296</v>
      </c>
      <c r="C211" s="71" t="s">
        <v>297</v>
      </c>
      <c r="D211" s="70" t="s">
        <v>674</v>
      </c>
      <c r="E211" s="72">
        <f>ROUND(50+65+100,2)</f>
        <v>215</v>
      </c>
      <c r="F211" s="72">
        <v>4.07</v>
      </c>
      <c r="G211" s="72">
        <v>1729.75</v>
      </c>
      <c r="H211" s="62"/>
      <c r="I211" s="148" t="s">
        <v>312</v>
      </c>
    </row>
    <row r="212" spans="1:9" ht="90" customHeight="1">
      <c r="A212" s="70" t="s">
        <v>568</v>
      </c>
      <c r="B212" s="87" t="s">
        <v>277</v>
      </c>
      <c r="C212" s="71" t="s">
        <v>309</v>
      </c>
      <c r="D212" s="70" t="s">
        <v>661</v>
      </c>
      <c r="E212" s="72">
        <v>12</v>
      </c>
      <c r="F212" s="72">
        <v>476.81</v>
      </c>
      <c r="G212" s="72">
        <v>4291.29</v>
      </c>
      <c r="H212" s="62"/>
      <c r="I212" s="148" t="s">
        <v>310</v>
      </c>
    </row>
    <row r="213" spans="1:9" ht="45" customHeight="1">
      <c r="A213" s="70" t="s">
        <v>569</v>
      </c>
      <c r="B213" s="87" t="s">
        <v>799</v>
      </c>
      <c r="C213" s="71" t="s">
        <v>303</v>
      </c>
      <c r="D213" s="70" t="s">
        <v>674</v>
      </c>
      <c r="E213" s="72">
        <f>ROUND(50*3,2)</f>
        <v>150</v>
      </c>
      <c r="F213" s="72">
        <v>4.2</v>
      </c>
      <c r="G213" s="72">
        <v>1785</v>
      </c>
      <c r="H213" s="62"/>
      <c r="I213" s="148" t="s">
        <v>313</v>
      </c>
    </row>
    <row r="214" spans="1:9" ht="45" customHeight="1">
      <c r="A214" s="70" t="s">
        <v>570</v>
      </c>
      <c r="B214" s="70" t="s">
        <v>287</v>
      </c>
      <c r="C214" s="71" t="s">
        <v>283</v>
      </c>
      <c r="D214" s="70" t="s">
        <v>674</v>
      </c>
      <c r="E214" s="72">
        <f>ROUND((165*3)+(10*8*3),2)</f>
        <v>735</v>
      </c>
      <c r="F214" s="72">
        <v>3.35</v>
      </c>
      <c r="G214" s="72">
        <f aca="true" t="shared" si="6" ref="G214:G228">ROUND(E214*F214,2)</f>
        <v>2462.25</v>
      </c>
      <c r="H214" s="62"/>
      <c r="I214" s="148" t="s">
        <v>314</v>
      </c>
    </row>
    <row r="215" spans="1:9" ht="90" customHeight="1">
      <c r="A215" s="70" t="s">
        <v>571</v>
      </c>
      <c r="B215" s="87" t="s">
        <v>796</v>
      </c>
      <c r="C215" s="71" t="s">
        <v>317</v>
      </c>
      <c r="D215" s="70" t="s">
        <v>661</v>
      </c>
      <c r="E215" s="72">
        <f>ROUND(12+12,2)</f>
        <v>24</v>
      </c>
      <c r="F215" s="72">
        <v>446.14</v>
      </c>
      <c r="G215" s="72">
        <f t="shared" si="6"/>
        <v>10707.36</v>
      </c>
      <c r="H215" s="62"/>
      <c r="I215" s="148" t="s">
        <v>315</v>
      </c>
    </row>
    <row r="216" spans="1:9" ht="30" customHeight="1">
      <c r="A216" s="70" t="s">
        <v>572</v>
      </c>
      <c r="B216" s="87" t="s">
        <v>797</v>
      </c>
      <c r="C216" s="71" t="s">
        <v>798</v>
      </c>
      <c r="D216" s="70" t="s">
        <v>661</v>
      </c>
      <c r="E216" s="72">
        <f>ROUND(12+12,2)</f>
        <v>24</v>
      </c>
      <c r="F216" s="72">
        <v>44.6</v>
      </c>
      <c r="G216" s="72">
        <f t="shared" si="6"/>
        <v>1070.4</v>
      </c>
      <c r="H216" s="62"/>
      <c r="I216" s="148" t="s">
        <v>315</v>
      </c>
    </row>
    <row r="217" spans="1:9" ht="30" customHeight="1">
      <c r="A217" s="108" t="s">
        <v>573</v>
      </c>
      <c r="B217" s="70" t="s">
        <v>804</v>
      </c>
      <c r="C217" s="71" t="s">
        <v>285</v>
      </c>
      <c r="D217" s="70" t="s">
        <v>661</v>
      </c>
      <c r="E217" s="72">
        <v>2</v>
      </c>
      <c r="F217" s="72">
        <v>46.94</v>
      </c>
      <c r="G217" s="72">
        <f t="shared" si="6"/>
        <v>93.88</v>
      </c>
      <c r="H217" s="62"/>
      <c r="I217" s="148" t="s">
        <v>316</v>
      </c>
    </row>
    <row r="218" spans="1:9" ht="30" customHeight="1">
      <c r="A218" s="70" t="s">
        <v>574</v>
      </c>
      <c r="B218" s="70" t="s">
        <v>289</v>
      </c>
      <c r="C218" s="71" t="s">
        <v>288</v>
      </c>
      <c r="D218" s="70" t="s">
        <v>661</v>
      </c>
      <c r="E218" s="72">
        <v>2</v>
      </c>
      <c r="F218" s="72">
        <v>29.7</v>
      </c>
      <c r="G218" s="72">
        <f t="shared" si="6"/>
        <v>59.4</v>
      </c>
      <c r="H218" s="62"/>
      <c r="I218" s="148" t="s">
        <v>183</v>
      </c>
    </row>
    <row r="219" spans="1:9" ht="30" customHeight="1">
      <c r="A219" s="70" t="s">
        <v>575</v>
      </c>
      <c r="B219" s="70" t="s">
        <v>292</v>
      </c>
      <c r="C219" s="71" t="s">
        <v>291</v>
      </c>
      <c r="D219" s="70" t="s">
        <v>661</v>
      </c>
      <c r="E219" s="72">
        <v>2</v>
      </c>
      <c r="F219" s="72">
        <v>27.5</v>
      </c>
      <c r="G219" s="72">
        <f t="shared" si="6"/>
        <v>55</v>
      </c>
      <c r="H219" s="62"/>
      <c r="I219" s="148" t="s">
        <v>183</v>
      </c>
    </row>
    <row r="220" spans="1:9" ht="30" customHeight="1">
      <c r="A220" s="70" t="s">
        <v>576</v>
      </c>
      <c r="B220" s="87" t="s">
        <v>319</v>
      </c>
      <c r="C220" s="71" t="s">
        <v>260</v>
      </c>
      <c r="D220" s="70" t="s">
        <v>757</v>
      </c>
      <c r="E220" s="72">
        <v>8</v>
      </c>
      <c r="F220" s="72">
        <v>113.08</v>
      </c>
      <c r="G220" s="72">
        <f t="shared" si="6"/>
        <v>904.64</v>
      </c>
      <c r="H220" s="62"/>
      <c r="I220" s="148" t="s">
        <v>335</v>
      </c>
    </row>
    <row r="221" spans="1:9" ht="90" customHeight="1">
      <c r="A221" s="109" t="s">
        <v>577</v>
      </c>
      <c r="B221" s="87" t="s">
        <v>320</v>
      </c>
      <c r="C221" s="71" t="s">
        <v>261</v>
      </c>
      <c r="D221" s="70" t="s">
        <v>757</v>
      </c>
      <c r="E221" s="72">
        <v>8</v>
      </c>
      <c r="F221" s="72">
        <v>35.3</v>
      </c>
      <c r="G221" s="72">
        <f t="shared" si="6"/>
        <v>282.4</v>
      </c>
      <c r="H221" s="62"/>
      <c r="I221" s="148" t="s">
        <v>335</v>
      </c>
    </row>
    <row r="222" spans="1:9" ht="30" customHeight="1">
      <c r="A222" s="70" t="s">
        <v>578</v>
      </c>
      <c r="B222" s="87" t="s">
        <v>321</v>
      </c>
      <c r="C222" s="71" t="s">
        <v>262</v>
      </c>
      <c r="D222" s="70" t="s">
        <v>661</v>
      </c>
      <c r="E222" s="72">
        <v>8</v>
      </c>
      <c r="F222" s="72">
        <v>22.44</v>
      </c>
      <c r="G222" s="72">
        <f t="shared" si="6"/>
        <v>179.52</v>
      </c>
      <c r="H222" s="62"/>
      <c r="I222" s="148" t="s">
        <v>324</v>
      </c>
    </row>
    <row r="223" spans="1:9" ht="30" customHeight="1">
      <c r="A223" s="70" t="s">
        <v>579</v>
      </c>
      <c r="B223" s="87" t="s">
        <v>322</v>
      </c>
      <c r="C223" s="71" t="s">
        <v>263</v>
      </c>
      <c r="D223" s="70" t="s">
        <v>661</v>
      </c>
      <c r="E223" s="72">
        <v>8</v>
      </c>
      <c r="F223" s="72">
        <v>51.16</v>
      </c>
      <c r="G223" s="72">
        <f t="shared" si="6"/>
        <v>409.28</v>
      </c>
      <c r="H223" s="62"/>
      <c r="I223" s="148" t="s">
        <v>324</v>
      </c>
    </row>
    <row r="224" spans="1:9" ht="30" customHeight="1">
      <c r="A224" s="70" t="s">
        <v>580</v>
      </c>
      <c r="B224" s="87" t="s">
        <v>264</v>
      </c>
      <c r="C224" s="71" t="s">
        <v>265</v>
      </c>
      <c r="D224" s="70" t="s">
        <v>661</v>
      </c>
      <c r="E224" s="72">
        <v>8</v>
      </c>
      <c r="F224" s="72">
        <v>49.09</v>
      </c>
      <c r="G224" s="72">
        <f t="shared" si="6"/>
        <v>392.72</v>
      </c>
      <c r="H224" s="62"/>
      <c r="I224" s="148" t="s">
        <v>324</v>
      </c>
    </row>
    <row r="225" spans="1:9" s="9" customFormat="1" ht="30" customHeight="1">
      <c r="A225" s="70" t="s">
        <v>581</v>
      </c>
      <c r="B225" s="87" t="s">
        <v>266</v>
      </c>
      <c r="C225" s="71" t="s">
        <v>267</v>
      </c>
      <c r="D225" s="70" t="s">
        <v>661</v>
      </c>
      <c r="E225" s="72">
        <v>8</v>
      </c>
      <c r="F225" s="72">
        <v>12.4</v>
      </c>
      <c r="G225" s="72">
        <f t="shared" si="6"/>
        <v>99.2</v>
      </c>
      <c r="H225" s="62"/>
      <c r="I225" s="148" t="s">
        <v>324</v>
      </c>
    </row>
    <row r="226" spans="1:9" s="9" customFormat="1" ht="30" customHeight="1">
      <c r="A226" s="70" t="s">
        <v>582</v>
      </c>
      <c r="B226" s="87" t="s">
        <v>268</v>
      </c>
      <c r="C226" s="71" t="s">
        <v>269</v>
      </c>
      <c r="D226" s="70" t="s">
        <v>661</v>
      </c>
      <c r="E226" s="72">
        <v>16</v>
      </c>
      <c r="F226" s="72">
        <v>4.92</v>
      </c>
      <c r="G226" s="72">
        <f t="shared" si="6"/>
        <v>78.72</v>
      </c>
      <c r="H226" s="62"/>
      <c r="I226" s="148" t="s">
        <v>325</v>
      </c>
    </row>
    <row r="227" spans="1:9" s="9" customFormat="1" ht="30" customHeight="1">
      <c r="A227" s="70" t="s">
        <v>583</v>
      </c>
      <c r="B227" s="87" t="s">
        <v>323</v>
      </c>
      <c r="C227" s="71" t="s">
        <v>270</v>
      </c>
      <c r="D227" s="70" t="s">
        <v>757</v>
      </c>
      <c r="E227" s="72">
        <v>8</v>
      </c>
      <c r="F227" s="72">
        <v>17.3</v>
      </c>
      <c r="G227" s="72">
        <f t="shared" si="6"/>
        <v>138.4</v>
      </c>
      <c r="H227" s="62"/>
      <c r="I227" s="148" t="s">
        <v>336</v>
      </c>
    </row>
    <row r="228" spans="1:9" s="9" customFormat="1" ht="30" customHeight="1">
      <c r="A228" s="70" t="s">
        <v>584</v>
      </c>
      <c r="B228" s="87" t="s">
        <v>801</v>
      </c>
      <c r="C228" s="71" t="s">
        <v>802</v>
      </c>
      <c r="D228" s="70" t="s">
        <v>757</v>
      </c>
      <c r="E228" s="72">
        <v>8</v>
      </c>
      <c r="F228" s="72">
        <v>12.54</v>
      </c>
      <c r="G228" s="72">
        <f t="shared" si="6"/>
        <v>100.32</v>
      </c>
      <c r="H228" s="62"/>
      <c r="I228" s="148" t="s">
        <v>336</v>
      </c>
    </row>
    <row r="229" spans="1:9" ht="19.5" customHeight="1" thickBot="1">
      <c r="A229" s="110"/>
      <c r="B229" s="110"/>
      <c r="C229" s="111"/>
      <c r="D229" s="110"/>
      <c r="E229" s="112"/>
      <c r="F229" s="112"/>
      <c r="G229" s="112"/>
      <c r="H229" s="62"/>
      <c r="I229" s="148"/>
    </row>
    <row r="230" spans="1:11" s="8" customFormat="1" ht="19.5" customHeight="1" thickBot="1">
      <c r="A230" s="113" t="s">
        <v>709</v>
      </c>
      <c r="B230" s="114"/>
      <c r="C230" s="115" t="s">
        <v>438</v>
      </c>
      <c r="D230" s="114"/>
      <c r="E230" s="116"/>
      <c r="F230" s="116"/>
      <c r="G230" s="117">
        <f>ROUND(G231+G249,2)</f>
        <v>199486.8</v>
      </c>
      <c r="H230" s="67"/>
      <c r="I230" s="148"/>
      <c r="J230" s="12"/>
      <c r="K230" s="12"/>
    </row>
    <row r="231" spans="1:9" ht="19.5" customHeight="1">
      <c r="A231" s="84" t="s">
        <v>710</v>
      </c>
      <c r="B231" s="84"/>
      <c r="C231" s="85" t="s">
        <v>469</v>
      </c>
      <c r="D231" s="84"/>
      <c r="E231" s="86"/>
      <c r="F231" s="86"/>
      <c r="G231" s="86">
        <f>SUM(G233:G247)</f>
        <v>127508.73000000001</v>
      </c>
      <c r="H231" s="62"/>
      <c r="I231" s="148"/>
    </row>
    <row r="232" spans="1:9" ht="9.75" customHeight="1">
      <c r="A232" s="68"/>
      <c r="B232" s="68"/>
      <c r="C232" s="69"/>
      <c r="D232" s="68"/>
      <c r="E232" s="80"/>
      <c r="F232" s="80"/>
      <c r="G232" s="80"/>
      <c r="H232" s="62"/>
      <c r="I232" s="148"/>
    </row>
    <row r="233" spans="1:9" s="9" customFormat="1" ht="45" customHeight="1">
      <c r="A233" s="70" t="s">
        <v>151</v>
      </c>
      <c r="B233" s="70" t="s">
        <v>282</v>
      </c>
      <c r="C233" s="71" t="s">
        <v>279</v>
      </c>
      <c r="D233" s="70" t="s">
        <v>661</v>
      </c>
      <c r="E233" s="72">
        <f>ROUND(8+4+4,2)</f>
        <v>16</v>
      </c>
      <c r="F233" s="72">
        <v>3100</v>
      </c>
      <c r="G233" s="72">
        <f aca="true" t="shared" si="7" ref="G233:G247">ROUND(E233*F233,2)</f>
        <v>49600</v>
      </c>
      <c r="H233" s="62"/>
      <c r="I233" s="148" t="s">
        <v>337</v>
      </c>
    </row>
    <row r="234" spans="1:9" s="9" customFormat="1" ht="90" customHeight="1">
      <c r="A234" s="70" t="s">
        <v>152</v>
      </c>
      <c r="B234" s="70" t="s">
        <v>464</v>
      </c>
      <c r="C234" s="71" t="s">
        <v>463</v>
      </c>
      <c r="D234" s="70" t="s">
        <v>661</v>
      </c>
      <c r="E234" s="72">
        <f>E233</f>
        <v>16</v>
      </c>
      <c r="F234" s="72">
        <v>151.28</v>
      </c>
      <c r="G234" s="72">
        <f>ROUND(E234*F234,2)</f>
        <v>2420.48</v>
      </c>
      <c r="H234" s="62"/>
      <c r="I234" s="148" t="s">
        <v>337</v>
      </c>
    </row>
    <row r="235" spans="1:9" s="9" customFormat="1" ht="90" customHeight="1">
      <c r="A235" s="70" t="s">
        <v>357</v>
      </c>
      <c r="B235" s="70" t="s">
        <v>481</v>
      </c>
      <c r="C235" s="71" t="s">
        <v>480</v>
      </c>
      <c r="D235" s="70" t="s">
        <v>661</v>
      </c>
      <c r="E235" s="72">
        <f>ROUND(16*4,2)</f>
        <v>64</v>
      </c>
      <c r="F235" s="72">
        <v>259.92</v>
      </c>
      <c r="G235" s="72">
        <f>ROUND(E235*F235,2)</f>
        <v>16634.88</v>
      </c>
      <c r="H235" s="62"/>
      <c r="I235" s="148" t="s">
        <v>483</v>
      </c>
    </row>
    <row r="236" spans="1:9" s="9" customFormat="1" ht="30" customHeight="1">
      <c r="A236" s="70" t="s">
        <v>358</v>
      </c>
      <c r="B236" s="70" t="s">
        <v>797</v>
      </c>
      <c r="C236" s="71" t="s">
        <v>482</v>
      </c>
      <c r="D236" s="70" t="s">
        <v>661</v>
      </c>
      <c r="E236" s="72">
        <f>ROUND((16*4)+(5),2)</f>
        <v>69</v>
      </c>
      <c r="F236" s="72">
        <v>44.6</v>
      </c>
      <c r="G236" s="72">
        <f>ROUND(E236*F236,2)</f>
        <v>3077.4</v>
      </c>
      <c r="H236" s="62"/>
      <c r="I236" s="148" t="s">
        <v>486</v>
      </c>
    </row>
    <row r="237" spans="1:9" s="9" customFormat="1" ht="30" customHeight="1">
      <c r="A237" s="70" t="s">
        <v>359</v>
      </c>
      <c r="B237" s="70" t="s">
        <v>485</v>
      </c>
      <c r="C237" s="71" t="s">
        <v>484</v>
      </c>
      <c r="D237" s="70" t="s">
        <v>661</v>
      </c>
      <c r="E237" s="72">
        <f>ROUND((16*4)+(5),2)</f>
        <v>69</v>
      </c>
      <c r="F237" s="72">
        <v>101.93</v>
      </c>
      <c r="G237" s="72">
        <f>ROUND(E237*F237,2)</f>
        <v>7033.17</v>
      </c>
      <c r="H237" s="62"/>
      <c r="I237" s="148" t="s">
        <v>486</v>
      </c>
    </row>
    <row r="238" spans="1:9" s="9" customFormat="1" ht="45" customHeight="1">
      <c r="A238" s="70" t="s">
        <v>360</v>
      </c>
      <c r="B238" s="70" t="s">
        <v>294</v>
      </c>
      <c r="C238" s="71" t="s">
        <v>293</v>
      </c>
      <c r="D238" s="70" t="s">
        <v>661</v>
      </c>
      <c r="E238" s="72">
        <f>ROUND(8+4+4,2)</f>
        <v>16</v>
      </c>
      <c r="F238" s="72">
        <v>493.48</v>
      </c>
      <c r="G238" s="72">
        <f>ROUND(E238*F238,2)</f>
        <v>7895.68</v>
      </c>
      <c r="H238" s="62"/>
      <c r="I238" s="148" t="s">
        <v>337</v>
      </c>
    </row>
    <row r="239" spans="1:9" s="9" customFormat="1" ht="120" customHeight="1">
      <c r="A239" s="70" t="s">
        <v>361</v>
      </c>
      <c r="B239" s="70" t="s">
        <v>779</v>
      </c>
      <c r="C239" s="71" t="s">
        <v>258</v>
      </c>
      <c r="D239" s="70" t="s">
        <v>699</v>
      </c>
      <c r="E239" s="72">
        <f>ROUND((1*1*1.7*26)+(270*0.2*0.6)+(230*0.2*0.6)+(235*0.2*0.6)+(0.8*0.8*0.6*26),2)</f>
        <v>142.38</v>
      </c>
      <c r="F239" s="72">
        <v>43.91</v>
      </c>
      <c r="G239" s="72">
        <f t="shared" si="7"/>
        <v>6251.91</v>
      </c>
      <c r="H239" s="62"/>
      <c r="I239" s="148" t="s">
        <v>281</v>
      </c>
    </row>
    <row r="240" spans="1:9" s="9" customFormat="1" ht="45" customHeight="1">
      <c r="A240" s="70" t="s">
        <v>362</v>
      </c>
      <c r="B240" s="70" t="s">
        <v>756</v>
      </c>
      <c r="C240" s="71" t="s">
        <v>259</v>
      </c>
      <c r="D240" s="70" t="s">
        <v>699</v>
      </c>
      <c r="E240" s="72">
        <f>E239*0.8</f>
        <v>113.904</v>
      </c>
      <c r="F240" s="72">
        <v>27.12</v>
      </c>
      <c r="G240" s="72">
        <f t="shared" si="7"/>
        <v>3089.08</v>
      </c>
      <c r="H240" s="62"/>
      <c r="I240" s="148" t="s">
        <v>272</v>
      </c>
    </row>
    <row r="241" spans="1:9" s="9" customFormat="1" ht="105" customHeight="1">
      <c r="A241" s="70" t="s">
        <v>368</v>
      </c>
      <c r="B241" s="70" t="s">
        <v>273</v>
      </c>
      <c r="C241" s="71" t="s">
        <v>275</v>
      </c>
      <c r="D241" s="70" t="s">
        <v>674</v>
      </c>
      <c r="E241" s="72">
        <f>ROUND(270+230+235,2)</f>
        <v>735</v>
      </c>
      <c r="F241" s="72">
        <v>13.53</v>
      </c>
      <c r="G241" s="72">
        <f t="shared" si="7"/>
        <v>9944.55</v>
      </c>
      <c r="H241" s="62"/>
      <c r="I241" s="148" t="s">
        <v>274</v>
      </c>
    </row>
    <row r="242" spans="1:9" s="9" customFormat="1" ht="90" customHeight="1">
      <c r="A242" s="70" t="s">
        <v>390</v>
      </c>
      <c r="B242" s="70" t="s">
        <v>277</v>
      </c>
      <c r="C242" s="71" t="s">
        <v>276</v>
      </c>
      <c r="D242" s="70" t="s">
        <v>661</v>
      </c>
      <c r="E242" s="72">
        <f>ROUND(9+9+8,2)</f>
        <v>26</v>
      </c>
      <c r="F242" s="72">
        <v>476.81</v>
      </c>
      <c r="G242" s="72">
        <f t="shared" si="7"/>
        <v>12397.06</v>
      </c>
      <c r="H242" s="62"/>
      <c r="I242" s="148" t="s">
        <v>280</v>
      </c>
    </row>
    <row r="243" spans="1:9" s="9" customFormat="1" ht="45" customHeight="1">
      <c r="A243" s="70" t="s">
        <v>585</v>
      </c>
      <c r="B243" s="70" t="s">
        <v>800</v>
      </c>
      <c r="C243" s="71" t="s">
        <v>278</v>
      </c>
      <c r="D243" s="70" t="s">
        <v>674</v>
      </c>
      <c r="E243" s="72">
        <f>ROUND(270+230+235,2)</f>
        <v>735</v>
      </c>
      <c r="F243" s="72">
        <v>6</v>
      </c>
      <c r="G243" s="72">
        <f t="shared" si="7"/>
        <v>4410</v>
      </c>
      <c r="H243" s="62"/>
      <c r="I243" s="148" t="s">
        <v>274</v>
      </c>
    </row>
    <row r="244" spans="1:9" s="9" customFormat="1" ht="60" customHeight="1">
      <c r="A244" s="70" t="s">
        <v>586</v>
      </c>
      <c r="B244" s="70" t="s">
        <v>287</v>
      </c>
      <c r="C244" s="71" t="s">
        <v>283</v>
      </c>
      <c r="D244" s="70" t="s">
        <v>674</v>
      </c>
      <c r="E244" s="72">
        <f>ROUND(17*3*26,2)</f>
        <v>1326</v>
      </c>
      <c r="F244" s="72">
        <v>3.35</v>
      </c>
      <c r="G244" s="72">
        <f t="shared" si="7"/>
        <v>4442.1</v>
      </c>
      <c r="H244" s="62"/>
      <c r="I244" s="148" t="s">
        <v>284</v>
      </c>
    </row>
    <row r="245" spans="1:9" s="9" customFormat="1" ht="30" customHeight="1">
      <c r="A245" s="70" t="s">
        <v>587</v>
      </c>
      <c r="B245" s="70" t="s">
        <v>804</v>
      </c>
      <c r="C245" s="71" t="s">
        <v>285</v>
      </c>
      <c r="D245" s="70" t="s">
        <v>661</v>
      </c>
      <c r="E245" s="72">
        <v>3</v>
      </c>
      <c r="F245" s="72">
        <v>46.94</v>
      </c>
      <c r="G245" s="72">
        <f t="shared" si="7"/>
        <v>140.82</v>
      </c>
      <c r="H245" s="62"/>
      <c r="I245" s="148" t="s">
        <v>286</v>
      </c>
    </row>
    <row r="246" spans="1:9" s="9" customFormat="1" ht="30" customHeight="1">
      <c r="A246" s="70" t="s">
        <v>588</v>
      </c>
      <c r="B246" s="70" t="s">
        <v>289</v>
      </c>
      <c r="C246" s="71" t="s">
        <v>288</v>
      </c>
      <c r="D246" s="70" t="s">
        <v>661</v>
      </c>
      <c r="E246" s="72">
        <v>3</v>
      </c>
      <c r="F246" s="72">
        <v>29.7</v>
      </c>
      <c r="G246" s="72">
        <f t="shared" si="7"/>
        <v>89.1</v>
      </c>
      <c r="H246" s="62"/>
      <c r="I246" s="148" t="s">
        <v>290</v>
      </c>
    </row>
    <row r="247" spans="1:9" s="9" customFormat="1" ht="30" customHeight="1">
      <c r="A247" s="70" t="s">
        <v>589</v>
      </c>
      <c r="B247" s="70" t="s">
        <v>292</v>
      </c>
      <c r="C247" s="71" t="s">
        <v>291</v>
      </c>
      <c r="D247" s="70" t="s">
        <v>661</v>
      </c>
      <c r="E247" s="72">
        <v>3</v>
      </c>
      <c r="F247" s="72">
        <v>27.5</v>
      </c>
      <c r="G247" s="72">
        <f t="shared" si="7"/>
        <v>82.5</v>
      </c>
      <c r="H247" s="62"/>
      <c r="I247" s="148" t="s">
        <v>290</v>
      </c>
    </row>
    <row r="248" spans="1:11" s="8" customFormat="1" ht="19.5" customHeight="1">
      <c r="A248" s="92"/>
      <c r="B248" s="92"/>
      <c r="C248" s="93"/>
      <c r="D248" s="92"/>
      <c r="E248" s="94"/>
      <c r="F248" s="94"/>
      <c r="G248" s="94"/>
      <c r="H248" s="67"/>
      <c r="I248" s="148"/>
      <c r="J248" s="12"/>
      <c r="K248" s="12"/>
    </row>
    <row r="249" spans="1:9" ht="19.5" customHeight="1">
      <c r="A249" s="84" t="s">
        <v>758</v>
      </c>
      <c r="B249" s="84"/>
      <c r="C249" s="85" t="s">
        <v>473</v>
      </c>
      <c r="D249" s="84"/>
      <c r="E249" s="86"/>
      <c r="F249" s="86"/>
      <c r="G249" s="86">
        <f>SUM(G251:G266)</f>
        <v>71978.06999999999</v>
      </c>
      <c r="H249" s="62"/>
      <c r="I249" s="148"/>
    </row>
    <row r="250" spans="1:9" ht="9.75" customHeight="1">
      <c r="A250" s="68"/>
      <c r="B250" s="68"/>
      <c r="C250" s="69"/>
      <c r="D250" s="68"/>
      <c r="E250" s="80"/>
      <c r="F250" s="80"/>
      <c r="G250" s="80"/>
      <c r="H250" s="62"/>
      <c r="I250" s="148"/>
    </row>
    <row r="251" spans="1:9" s="9" customFormat="1" ht="30" customHeight="1">
      <c r="A251" s="70" t="s">
        <v>153</v>
      </c>
      <c r="B251" s="70" t="s">
        <v>468</v>
      </c>
      <c r="C251" s="71" t="s">
        <v>467</v>
      </c>
      <c r="D251" s="70" t="s">
        <v>661</v>
      </c>
      <c r="E251" s="72">
        <v>70</v>
      </c>
      <c r="F251" s="72">
        <v>244.87</v>
      </c>
      <c r="G251" s="72">
        <f aca="true" t="shared" si="8" ref="G251:G265">ROUND(E251*F251,2)</f>
        <v>17140.9</v>
      </c>
      <c r="H251" s="62"/>
      <c r="I251" s="148" t="s">
        <v>437</v>
      </c>
    </row>
    <row r="252" spans="1:9" s="9" customFormat="1" ht="105" customHeight="1">
      <c r="A252" s="70" t="s">
        <v>154</v>
      </c>
      <c r="B252" s="70" t="s">
        <v>475</v>
      </c>
      <c r="C252" s="71" t="s">
        <v>474</v>
      </c>
      <c r="D252" s="70" t="s">
        <v>661</v>
      </c>
      <c r="E252" s="72">
        <v>49</v>
      </c>
      <c r="F252" s="72">
        <v>58.91</v>
      </c>
      <c r="G252" s="72">
        <f t="shared" si="8"/>
        <v>2886.59</v>
      </c>
      <c r="H252" s="62"/>
      <c r="I252" s="148" t="s">
        <v>478</v>
      </c>
    </row>
    <row r="253" spans="1:9" s="9" customFormat="1" ht="90" customHeight="1">
      <c r="A253" s="70" t="s">
        <v>363</v>
      </c>
      <c r="B253" s="70" t="s">
        <v>477</v>
      </c>
      <c r="C253" s="71" t="s">
        <v>476</v>
      </c>
      <c r="D253" s="70" t="s">
        <v>661</v>
      </c>
      <c r="E253" s="72">
        <v>21</v>
      </c>
      <c r="F253" s="72">
        <v>82.45</v>
      </c>
      <c r="G253" s="72">
        <f t="shared" si="8"/>
        <v>1731.45</v>
      </c>
      <c r="H253" s="62"/>
      <c r="I253" s="148" t="s">
        <v>479</v>
      </c>
    </row>
    <row r="254" spans="1:9" s="31" customFormat="1" ht="90" customHeight="1">
      <c r="A254" s="70" t="s">
        <v>590</v>
      </c>
      <c r="B254" s="109" t="s">
        <v>488</v>
      </c>
      <c r="C254" s="118" t="s">
        <v>487</v>
      </c>
      <c r="D254" s="109" t="s">
        <v>661</v>
      </c>
      <c r="E254" s="72">
        <f>ROUND((49*1)+(21*2),2)</f>
        <v>91</v>
      </c>
      <c r="F254" s="72">
        <v>176.55</v>
      </c>
      <c r="G254" s="72">
        <f t="shared" si="8"/>
        <v>16066.05</v>
      </c>
      <c r="H254" s="119"/>
      <c r="I254" s="148" t="s">
        <v>493</v>
      </c>
    </row>
    <row r="255" spans="1:9" s="9" customFormat="1" ht="30" customHeight="1">
      <c r="A255" s="70" t="s">
        <v>591</v>
      </c>
      <c r="B255" s="62" t="s">
        <v>490</v>
      </c>
      <c r="C255" s="82" t="s">
        <v>489</v>
      </c>
      <c r="D255" s="62" t="s">
        <v>661</v>
      </c>
      <c r="E255" s="72">
        <f>ROUND((49*1)+(21*2),2)</f>
        <v>91</v>
      </c>
      <c r="F255" s="91">
        <v>87.93</v>
      </c>
      <c r="G255" s="72">
        <f t="shared" si="8"/>
        <v>8001.63</v>
      </c>
      <c r="H255" s="62"/>
      <c r="I255" s="148" t="s">
        <v>493</v>
      </c>
    </row>
    <row r="256" spans="1:9" s="31" customFormat="1" ht="60" customHeight="1">
      <c r="A256" s="87" t="s">
        <v>592</v>
      </c>
      <c r="B256" s="109" t="s">
        <v>492</v>
      </c>
      <c r="C256" s="118" t="s">
        <v>491</v>
      </c>
      <c r="D256" s="109" t="s">
        <v>661</v>
      </c>
      <c r="E256" s="72">
        <f>ROUND((49*1)+(21*2),2)</f>
        <v>91</v>
      </c>
      <c r="F256" s="109">
        <v>22.82</v>
      </c>
      <c r="G256" s="72">
        <f t="shared" si="8"/>
        <v>2076.62</v>
      </c>
      <c r="H256" s="119"/>
      <c r="I256" s="148" t="s">
        <v>493</v>
      </c>
    </row>
    <row r="257" spans="1:9" s="9" customFormat="1" ht="45" customHeight="1">
      <c r="A257" s="70" t="s">
        <v>593</v>
      </c>
      <c r="B257" s="70" t="s">
        <v>465</v>
      </c>
      <c r="C257" s="71" t="s">
        <v>466</v>
      </c>
      <c r="D257" s="70" t="s">
        <v>661</v>
      </c>
      <c r="E257" s="72">
        <v>70</v>
      </c>
      <c r="F257" s="72">
        <v>116.06</v>
      </c>
      <c r="G257" s="72">
        <f t="shared" si="8"/>
        <v>8124.2</v>
      </c>
      <c r="H257" s="62"/>
      <c r="I257" s="148" t="s">
        <v>437</v>
      </c>
    </row>
    <row r="258" spans="1:9" s="9" customFormat="1" ht="120" customHeight="1">
      <c r="A258" s="70" t="s">
        <v>594</v>
      </c>
      <c r="B258" s="70" t="s">
        <v>779</v>
      </c>
      <c r="C258" s="71" t="s">
        <v>258</v>
      </c>
      <c r="D258" s="70" t="s">
        <v>699</v>
      </c>
      <c r="E258" s="72">
        <f>ROUND((0.5*0.5*0.4*70)+(150*0.2*0.6)+(110*0.2*0.6)+(165*0.2*0.6)+(0.8*0.8*0.6*9),2)</f>
        <v>61.46</v>
      </c>
      <c r="F258" s="72">
        <v>43.91</v>
      </c>
      <c r="G258" s="72">
        <f t="shared" si="8"/>
        <v>2698.71</v>
      </c>
      <c r="H258" s="62"/>
      <c r="I258" s="148" t="s">
        <v>295</v>
      </c>
    </row>
    <row r="259" spans="1:9" s="9" customFormat="1" ht="45" customHeight="1">
      <c r="A259" s="70" t="s">
        <v>595</v>
      </c>
      <c r="B259" s="70" t="s">
        <v>756</v>
      </c>
      <c r="C259" s="71" t="s">
        <v>259</v>
      </c>
      <c r="D259" s="70" t="s">
        <v>699</v>
      </c>
      <c r="E259" s="72">
        <f>E258*0.8</f>
        <v>49.168000000000006</v>
      </c>
      <c r="F259" s="72">
        <v>27.12</v>
      </c>
      <c r="G259" s="72">
        <f t="shared" si="8"/>
        <v>1333.44</v>
      </c>
      <c r="H259" s="62"/>
      <c r="I259" s="148" t="s">
        <v>272</v>
      </c>
    </row>
    <row r="260" spans="1:9" s="9" customFormat="1" ht="45" customHeight="1">
      <c r="A260" s="70" t="s">
        <v>596</v>
      </c>
      <c r="B260" s="70" t="s">
        <v>296</v>
      </c>
      <c r="C260" s="71" t="s">
        <v>297</v>
      </c>
      <c r="D260" s="70" t="s">
        <v>674</v>
      </c>
      <c r="E260" s="72">
        <f>ROUND(150+110+165,2)</f>
        <v>425</v>
      </c>
      <c r="F260" s="72">
        <v>4.07</v>
      </c>
      <c r="G260" s="72">
        <f t="shared" si="8"/>
        <v>1729.75</v>
      </c>
      <c r="H260" s="62"/>
      <c r="I260" s="148" t="s">
        <v>298</v>
      </c>
    </row>
    <row r="261" spans="1:9" s="9" customFormat="1" ht="90" customHeight="1">
      <c r="A261" s="70" t="s">
        <v>597</v>
      </c>
      <c r="B261" s="70" t="s">
        <v>277</v>
      </c>
      <c r="C261" s="71" t="s">
        <v>276</v>
      </c>
      <c r="D261" s="70" t="s">
        <v>661</v>
      </c>
      <c r="E261" s="72">
        <v>9</v>
      </c>
      <c r="F261" s="72">
        <v>476.81</v>
      </c>
      <c r="G261" s="72">
        <f t="shared" si="8"/>
        <v>4291.29</v>
      </c>
      <c r="H261" s="62"/>
      <c r="I261" s="148" t="s">
        <v>302</v>
      </c>
    </row>
    <row r="262" spans="1:9" s="9" customFormat="1" ht="45" customHeight="1">
      <c r="A262" s="70" t="s">
        <v>598</v>
      </c>
      <c r="B262" s="70" t="s">
        <v>799</v>
      </c>
      <c r="C262" s="71" t="s">
        <v>303</v>
      </c>
      <c r="D262" s="70" t="s">
        <v>674</v>
      </c>
      <c r="E262" s="72">
        <f>ROUND(150+110+165,2)</f>
        <v>425</v>
      </c>
      <c r="F262" s="72">
        <v>4.2</v>
      </c>
      <c r="G262" s="72">
        <f t="shared" si="8"/>
        <v>1785</v>
      </c>
      <c r="H262" s="62"/>
      <c r="I262" s="148" t="s">
        <v>298</v>
      </c>
    </row>
    <row r="263" spans="1:9" s="9" customFormat="1" ht="60" customHeight="1">
      <c r="A263" s="70" t="s">
        <v>599</v>
      </c>
      <c r="B263" s="70" t="s">
        <v>305</v>
      </c>
      <c r="C263" s="71" t="s">
        <v>304</v>
      </c>
      <c r="D263" s="70" t="s">
        <v>674</v>
      </c>
      <c r="E263" s="72">
        <f>ROUND(3.5*2*70,2)</f>
        <v>490</v>
      </c>
      <c r="F263" s="72">
        <v>2.46</v>
      </c>
      <c r="G263" s="72">
        <f t="shared" si="8"/>
        <v>1205.4</v>
      </c>
      <c r="H263" s="62"/>
      <c r="I263" s="148" t="s">
        <v>306</v>
      </c>
    </row>
    <row r="264" spans="1:9" s="9" customFormat="1" ht="30" customHeight="1">
      <c r="A264" s="70" t="s">
        <v>600</v>
      </c>
      <c r="B264" s="70" t="s">
        <v>803</v>
      </c>
      <c r="C264" s="71" t="s">
        <v>307</v>
      </c>
      <c r="D264" s="70" t="s">
        <v>661</v>
      </c>
      <c r="E264" s="72">
        <v>3</v>
      </c>
      <c r="F264" s="72">
        <v>27.67</v>
      </c>
      <c r="G264" s="72">
        <f t="shared" si="8"/>
        <v>83.01</v>
      </c>
      <c r="H264" s="62"/>
      <c r="I264" s="148" t="s">
        <v>308</v>
      </c>
    </row>
    <row r="265" spans="1:9" s="9" customFormat="1" ht="30" customHeight="1">
      <c r="A265" s="70" t="s">
        <v>601</v>
      </c>
      <c r="B265" s="70" t="s">
        <v>436</v>
      </c>
      <c r="C265" s="71" t="s">
        <v>435</v>
      </c>
      <c r="D265" s="70" t="s">
        <v>661</v>
      </c>
      <c r="E265" s="72">
        <v>70</v>
      </c>
      <c r="F265" s="72">
        <v>38.72</v>
      </c>
      <c r="G265" s="72">
        <f t="shared" si="8"/>
        <v>2710.4</v>
      </c>
      <c r="H265" s="62"/>
      <c r="I265" s="148" t="s">
        <v>437</v>
      </c>
    </row>
    <row r="266" spans="1:9" s="9" customFormat="1" ht="60" customHeight="1">
      <c r="A266" s="70" t="s">
        <v>602</v>
      </c>
      <c r="B266" s="87" t="s">
        <v>318</v>
      </c>
      <c r="C266" s="71" t="s">
        <v>759</v>
      </c>
      <c r="D266" s="70" t="s">
        <v>661</v>
      </c>
      <c r="E266" s="72">
        <v>1</v>
      </c>
      <c r="F266" s="72">
        <v>113.63</v>
      </c>
      <c r="G266" s="72">
        <f>ROUND(E266*F266,2)</f>
        <v>113.63</v>
      </c>
      <c r="H266" s="62"/>
      <c r="I266" s="148" t="s">
        <v>184</v>
      </c>
    </row>
    <row r="267" spans="1:9" ht="19.5" customHeight="1" thickBot="1">
      <c r="A267" s="110"/>
      <c r="B267" s="110"/>
      <c r="C267" s="111"/>
      <c r="D267" s="110"/>
      <c r="E267" s="112"/>
      <c r="F267" s="112"/>
      <c r="G267" s="112"/>
      <c r="H267" s="62"/>
      <c r="I267" s="148"/>
    </row>
    <row r="268" spans="1:11" s="8" customFormat="1" ht="19.5" customHeight="1" thickBot="1">
      <c r="A268" s="113" t="s">
        <v>715</v>
      </c>
      <c r="B268" s="114"/>
      <c r="C268" s="115" t="s">
        <v>349</v>
      </c>
      <c r="D268" s="114"/>
      <c r="E268" s="116"/>
      <c r="F268" s="116"/>
      <c r="G268" s="117">
        <f>ROUND(G269+G283+G289+G295+G301,2)</f>
        <v>435312.14</v>
      </c>
      <c r="H268" s="67"/>
      <c r="I268" s="148"/>
      <c r="J268" s="12"/>
      <c r="K268" s="12"/>
    </row>
    <row r="269" spans="1:9" ht="19.5" customHeight="1">
      <c r="A269" s="77" t="s">
        <v>716</v>
      </c>
      <c r="B269" s="77"/>
      <c r="C269" s="78" t="s">
        <v>676</v>
      </c>
      <c r="D269" s="77"/>
      <c r="E269" s="79"/>
      <c r="F269" s="79"/>
      <c r="G269" s="79">
        <f>SUM(G271:G281)</f>
        <v>221146.63</v>
      </c>
      <c r="H269" s="62"/>
      <c r="I269" s="148"/>
    </row>
    <row r="270" spans="1:9" ht="9.75" customHeight="1">
      <c r="A270" s="68"/>
      <c r="B270" s="68"/>
      <c r="C270" s="69"/>
      <c r="D270" s="68"/>
      <c r="E270" s="80"/>
      <c r="F270" s="80"/>
      <c r="G270" s="80"/>
      <c r="H270" s="62"/>
      <c r="I270" s="148"/>
    </row>
    <row r="271" spans="1:9" s="9" customFormat="1" ht="45" customHeight="1">
      <c r="A271" s="70" t="s">
        <v>373</v>
      </c>
      <c r="B271" s="70" t="s">
        <v>725</v>
      </c>
      <c r="C271" s="71" t="s">
        <v>711</v>
      </c>
      <c r="D271" s="70" t="s">
        <v>660</v>
      </c>
      <c r="E271" s="72">
        <f>ROUND(33.2*2,2)</f>
        <v>66.4</v>
      </c>
      <c r="F271" s="72">
        <v>9.04</v>
      </c>
      <c r="G271" s="72">
        <f>ROUND(E271*F271,2)</f>
        <v>600.26</v>
      </c>
      <c r="H271" s="62"/>
      <c r="I271" s="148" t="s">
        <v>383</v>
      </c>
    </row>
    <row r="272" spans="1:9" s="9" customFormat="1" ht="15" customHeight="1">
      <c r="A272" s="70" t="s">
        <v>369</v>
      </c>
      <c r="B272" s="70" t="s">
        <v>454</v>
      </c>
      <c r="C272" s="71" t="s">
        <v>747</v>
      </c>
      <c r="D272" s="70" t="s">
        <v>660</v>
      </c>
      <c r="E272" s="72">
        <f>ROUND(66.5*30.6,2)</f>
        <v>2034.9</v>
      </c>
      <c r="F272" s="72">
        <v>2.67</v>
      </c>
      <c r="G272" s="72">
        <f aca="true" t="shared" si="9" ref="G272:G281">ROUND(E272*F272,2)</f>
        <v>5433.18</v>
      </c>
      <c r="H272" s="62"/>
      <c r="I272" s="148" t="s">
        <v>387</v>
      </c>
    </row>
    <row r="273" spans="1:9" ht="30" customHeight="1">
      <c r="A273" s="70" t="s">
        <v>370</v>
      </c>
      <c r="B273" s="70" t="s">
        <v>651</v>
      </c>
      <c r="C273" s="71" t="s">
        <v>652</v>
      </c>
      <c r="D273" s="70" t="s">
        <v>660</v>
      </c>
      <c r="E273" s="72">
        <v>186.68</v>
      </c>
      <c r="F273" s="72">
        <v>12.91</v>
      </c>
      <c r="G273" s="72">
        <v>2410.04</v>
      </c>
      <c r="H273" s="62"/>
      <c r="I273" s="148" t="s">
        <v>653</v>
      </c>
    </row>
    <row r="274" spans="1:9" ht="45" customHeight="1">
      <c r="A274" s="70" t="s">
        <v>371</v>
      </c>
      <c r="B274" s="70" t="s">
        <v>385</v>
      </c>
      <c r="C274" s="71" t="s">
        <v>384</v>
      </c>
      <c r="D274" s="70" t="s">
        <v>674</v>
      </c>
      <c r="E274" s="72">
        <v>423.53</v>
      </c>
      <c r="F274" s="72">
        <v>16.79</v>
      </c>
      <c r="G274" s="72">
        <f t="shared" si="9"/>
        <v>7111.07</v>
      </c>
      <c r="H274" s="62"/>
      <c r="I274" s="148" t="s">
        <v>386</v>
      </c>
    </row>
    <row r="275" spans="1:9" ht="30" customHeight="1">
      <c r="A275" s="70" t="s">
        <v>603</v>
      </c>
      <c r="B275" s="70" t="s">
        <v>432</v>
      </c>
      <c r="C275" s="71" t="s">
        <v>431</v>
      </c>
      <c r="D275" s="70" t="s">
        <v>699</v>
      </c>
      <c r="E275" s="72">
        <f>ROUND(5386.95*0.4,2)</f>
        <v>2154.78</v>
      </c>
      <c r="F275" s="72">
        <v>9.82</v>
      </c>
      <c r="G275" s="72">
        <f t="shared" si="9"/>
        <v>21159.94</v>
      </c>
      <c r="H275" s="62"/>
      <c r="I275" s="148" t="s">
        <v>433</v>
      </c>
    </row>
    <row r="276" spans="1:9" ht="75" customHeight="1">
      <c r="A276" s="70" t="s">
        <v>604</v>
      </c>
      <c r="B276" s="70" t="s">
        <v>772</v>
      </c>
      <c r="C276" s="71" t="s">
        <v>820</v>
      </c>
      <c r="D276" s="70" t="s">
        <v>750</v>
      </c>
      <c r="E276" s="72">
        <f>ROUND(E275*1.4*1*60,2)</f>
        <v>181001.52</v>
      </c>
      <c r="F276" s="72">
        <v>0.5</v>
      </c>
      <c r="G276" s="72">
        <f t="shared" si="9"/>
        <v>90500.76</v>
      </c>
      <c r="H276" s="62"/>
      <c r="I276" s="148" t="s">
        <v>430</v>
      </c>
    </row>
    <row r="277" spans="1:9" ht="90" customHeight="1">
      <c r="A277" s="70" t="s">
        <v>605</v>
      </c>
      <c r="B277" s="70" t="s">
        <v>394</v>
      </c>
      <c r="C277" s="71" t="s">
        <v>393</v>
      </c>
      <c r="D277" s="70" t="s">
        <v>699</v>
      </c>
      <c r="E277" s="72">
        <f>ROUND(5386.95*0.4,2)</f>
        <v>2154.78</v>
      </c>
      <c r="F277" s="72">
        <v>2.3</v>
      </c>
      <c r="G277" s="72">
        <f t="shared" si="9"/>
        <v>4955.99</v>
      </c>
      <c r="H277" s="62"/>
      <c r="I277" s="148" t="s">
        <v>433</v>
      </c>
    </row>
    <row r="278" spans="1:9" ht="30" customHeight="1">
      <c r="A278" s="70" t="s">
        <v>606</v>
      </c>
      <c r="B278" s="70" t="s">
        <v>777</v>
      </c>
      <c r="C278" s="71" t="s">
        <v>816</v>
      </c>
      <c r="D278" s="70" t="s">
        <v>674</v>
      </c>
      <c r="E278" s="72">
        <v>1750.37</v>
      </c>
      <c r="F278" s="72">
        <v>33.46</v>
      </c>
      <c r="G278" s="72">
        <f t="shared" si="9"/>
        <v>58567.38</v>
      </c>
      <c r="H278" s="62"/>
      <c r="I278" s="148" t="s">
        <v>395</v>
      </c>
    </row>
    <row r="279" spans="1:9" ht="75" customHeight="1">
      <c r="A279" s="70" t="s">
        <v>607</v>
      </c>
      <c r="B279" s="70" t="s">
        <v>389</v>
      </c>
      <c r="C279" s="71" t="s">
        <v>388</v>
      </c>
      <c r="D279" s="70" t="s">
        <v>674</v>
      </c>
      <c r="E279" s="72">
        <v>493.04</v>
      </c>
      <c r="F279" s="72">
        <v>48.85</v>
      </c>
      <c r="G279" s="72">
        <f t="shared" si="9"/>
        <v>24085</v>
      </c>
      <c r="H279" s="62"/>
      <c r="I279" s="148" t="s">
        <v>396</v>
      </c>
    </row>
    <row r="280" spans="1:9" ht="75" customHeight="1">
      <c r="A280" s="70" t="s">
        <v>608</v>
      </c>
      <c r="B280" s="70" t="s">
        <v>391</v>
      </c>
      <c r="C280" s="71" t="s">
        <v>392</v>
      </c>
      <c r="D280" s="70" t="s">
        <v>674</v>
      </c>
      <c r="E280" s="72">
        <v>99.07</v>
      </c>
      <c r="F280" s="72">
        <v>53.42</v>
      </c>
      <c r="G280" s="72">
        <f>ROUND(E280*F280,2)</f>
        <v>5292.32</v>
      </c>
      <c r="H280" s="62"/>
      <c r="I280" s="148" t="s">
        <v>396</v>
      </c>
    </row>
    <row r="281" spans="1:9" ht="30" customHeight="1">
      <c r="A281" s="70" t="s">
        <v>650</v>
      </c>
      <c r="B281" s="70" t="s">
        <v>791</v>
      </c>
      <c r="C281" s="71" t="s">
        <v>823</v>
      </c>
      <c r="D281" s="70" t="s">
        <v>674</v>
      </c>
      <c r="E281" s="72">
        <f>ROUND(E278+E279+E280,2)</f>
        <v>2342.48</v>
      </c>
      <c r="F281" s="72">
        <v>0.44</v>
      </c>
      <c r="G281" s="72">
        <f t="shared" si="9"/>
        <v>1030.69</v>
      </c>
      <c r="H281" s="62"/>
      <c r="I281" s="148" t="s">
        <v>434</v>
      </c>
    </row>
    <row r="282" spans="1:9" ht="19.5" customHeight="1">
      <c r="A282" s="92"/>
      <c r="B282" s="92"/>
      <c r="C282" s="93"/>
      <c r="D282" s="92"/>
      <c r="E282" s="94"/>
      <c r="F282" s="94"/>
      <c r="G282" s="94"/>
      <c r="H282" s="62"/>
      <c r="I282" s="148"/>
    </row>
    <row r="283" spans="1:9" ht="19.5" customHeight="1">
      <c r="A283" s="102" t="s">
        <v>717</v>
      </c>
      <c r="B283" s="102"/>
      <c r="C283" s="103" t="s">
        <v>355</v>
      </c>
      <c r="D283" s="102"/>
      <c r="E283" s="104"/>
      <c r="F283" s="104"/>
      <c r="G283" s="104">
        <f>SUM(G285:G287)</f>
        <v>56066.66</v>
      </c>
      <c r="H283" s="62"/>
      <c r="I283" s="148"/>
    </row>
    <row r="284" spans="1:9" ht="9.75" customHeight="1">
      <c r="A284" s="68"/>
      <c r="B284" s="68"/>
      <c r="C284" s="69"/>
      <c r="D284" s="68"/>
      <c r="E284" s="80"/>
      <c r="F284" s="80"/>
      <c r="G284" s="80"/>
      <c r="H284" s="62"/>
      <c r="I284" s="148"/>
    </row>
    <row r="285" spans="1:9" ht="45" customHeight="1">
      <c r="A285" s="70" t="s">
        <v>372</v>
      </c>
      <c r="B285" s="70" t="s">
        <v>770</v>
      </c>
      <c r="C285" s="71" t="s">
        <v>815</v>
      </c>
      <c r="D285" s="70" t="s">
        <v>660</v>
      </c>
      <c r="E285" s="72">
        <f>E286</f>
        <v>959.89</v>
      </c>
      <c r="F285" s="72">
        <v>7.83</v>
      </c>
      <c r="G285" s="72">
        <f>ROUND(E285*F285,2)</f>
        <v>7515.94</v>
      </c>
      <c r="H285" s="62"/>
      <c r="I285" s="148" t="s">
        <v>354</v>
      </c>
    </row>
    <row r="286" spans="1:9" ht="45" customHeight="1">
      <c r="A286" s="70" t="s">
        <v>609</v>
      </c>
      <c r="B286" s="70" t="s">
        <v>773</v>
      </c>
      <c r="C286" s="71" t="s">
        <v>817</v>
      </c>
      <c r="D286" s="70" t="s">
        <v>660</v>
      </c>
      <c r="E286" s="72">
        <v>959.89</v>
      </c>
      <c r="F286" s="72">
        <v>41.66</v>
      </c>
      <c r="G286" s="72">
        <f>ROUND(E286*F286,2)</f>
        <v>39989.02</v>
      </c>
      <c r="H286" s="62"/>
      <c r="I286" s="148" t="s">
        <v>354</v>
      </c>
    </row>
    <row r="287" spans="1:9" ht="105" customHeight="1">
      <c r="A287" s="70" t="s">
        <v>610</v>
      </c>
      <c r="B287" s="70" t="s">
        <v>792</v>
      </c>
      <c r="C287" s="71" t="s">
        <v>299</v>
      </c>
      <c r="D287" s="70" t="s">
        <v>660</v>
      </c>
      <c r="E287" s="72">
        <f>ROUND(597.04*0.2,2)</f>
        <v>119.41</v>
      </c>
      <c r="F287" s="72">
        <v>71.7</v>
      </c>
      <c r="G287" s="72">
        <f>ROUND(E287*F287,2)</f>
        <v>8561.7</v>
      </c>
      <c r="H287" s="62"/>
      <c r="I287" s="148" t="s">
        <v>356</v>
      </c>
    </row>
    <row r="288" spans="1:9" ht="19.5" customHeight="1">
      <c r="A288" s="88"/>
      <c r="B288" s="88"/>
      <c r="C288" s="89"/>
      <c r="D288" s="88"/>
      <c r="E288" s="90"/>
      <c r="F288" s="90"/>
      <c r="G288" s="90"/>
      <c r="H288" s="62"/>
      <c r="I288" s="148"/>
    </row>
    <row r="289" spans="1:9" ht="19.5" customHeight="1">
      <c r="A289" s="102" t="s">
        <v>611</v>
      </c>
      <c r="B289" s="102"/>
      <c r="C289" s="103" t="s">
        <v>348</v>
      </c>
      <c r="D289" s="102"/>
      <c r="E289" s="104"/>
      <c r="F289" s="104"/>
      <c r="G289" s="104">
        <f>SUM(G291:G293)</f>
        <v>91235.03</v>
      </c>
      <c r="H289" s="62"/>
      <c r="I289" s="148"/>
    </row>
    <row r="290" spans="1:9" ht="9.75" customHeight="1">
      <c r="A290" s="68"/>
      <c r="B290" s="68"/>
      <c r="C290" s="69"/>
      <c r="D290" s="68"/>
      <c r="E290" s="80"/>
      <c r="F290" s="80"/>
      <c r="G290" s="80"/>
      <c r="H290" s="62"/>
      <c r="I290" s="148"/>
    </row>
    <row r="291" spans="1:9" ht="45" customHeight="1">
      <c r="A291" s="70" t="s">
        <v>612</v>
      </c>
      <c r="B291" s="70" t="s">
        <v>770</v>
      </c>
      <c r="C291" s="71" t="s">
        <v>815</v>
      </c>
      <c r="D291" s="70" t="s">
        <v>660</v>
      </c>
      <c r="E291" s="72">
        <f>ROUND(E292+E293,2)</f>
        <v>1244.34</v>
      </c>
      <c r="F291" s="72">
        <v>7.83</v>
      </c>
      <c r="G291" s="72">
        <f>ROUND(E291*F291,2)</f>
        <v>9743.18</v>
      </c>
      <c r="H291" s="62"/>
      <c r="I291" s="148" t="s">
        <v>347</v>
      </c>
    </row>
    <row r="292" spans="1:9" ht="105" customHeight="1">
      <c r="A292" s="70" t="s">
        <v>613</v>
      </c>
      <c r="B292" s="70" t="s">
        <v>726</v>
      </c>
      <c r="C292" s="71" t="s">
        <v>300</v>
      </c>
      <c r="D292" s="70" t="s">
        <v>660</v>
      </c>
      <c r="E292" s="72">
        <v>855.74</v>
      </c>
      <c r="F292" s="72">
        <v>62.67</v>
      </c>
      <c r="G292" s="72">
        <f>ROUND(E292*F292,2)</f>
        <v>53629.23</v>
      </c>
      <c r="H292" s="62"/>
      <c r="I292" s="148" t="s">
        <v>345</v>
      </c>
    </row>
    <row r="293" spans="1:9" ht="105" customHeight="1">
      <c r="A293" s="70" t="s">
        <v>614</v>
      </c>
      <c r="B293" s="70" t="s">
        <v>792</v>
      </c>
      <c r="C293" s="71" t="s">
        <v>299</v>
      </c>
      <c r="D293" s="70" t="s">
        <v>660</v>
      </c>
      <c r="E293" s="72">
        <v>388.6</v>
      </c>
      <c r="F293" s="72">
        <v>71.7</v>
      </c>
      <c r="G293" s="72">
        <f>ROUND(E293*F293,2)</f>
        <v>27862.62</v>
      </c>
      <c r="H293" s="62"/>
      <c r="I293" s="148" t="s">
        <v>346</v>
      </c>
    </row>
    <row r="294" spans="1:9" ht="19.5" customHeight="1">
      <c r="A294" s="92"/>
      <c r="B294" s="92"/>
      <c r="C294" s="93"/>
      <c r="D294" s="92"/>
      <c r="E294" s="94"/>
      <c r="F294" s="94"/>
      <c r="G294" s="94"/>
      <c r="H294" s="62"/>
      <c r="I294" s="148"/>
    </row>
    <row r="295" spans="1:9" ht="19.5" customHeight="1">
      <c r="A295" s="102" t="s">
        <v>615</v>
      </c>
      <c r="B295" s="102"/>
      <c r="C295" s="103" t="s">
        <v>781</v>
      </c>
      <c r="D295" s="102"/>
      <c r="E295" s="104"/>
      <c r="F295" s="104"/>
      <c r="G295" s="104">
        <f>SUM(G297:G299)</f>
        <v>12849.95</v>
      </c>
      <c r="H295" s="62"/>
      <c r="I295" s="148"/>
    </row>
    <row r="296" spans="1:9" ht="9.75" customHeight="1">
      <c r="A296" s="68"/>
      <c r="B296" s="68"/>
      <c r="C296" s="69"/>
      <c r="D296" s="68"/>
      <c r="E296" s="80"/>
      <c r="F296" s="80"/>
      <c r="G296" s="80"/>
      <c r="H296" s="62"/>
      <c r="I296" s="148"/>
    </row>
    <row r="297" spans="1:9" ht="60" customHeight="1">
      <c r="A297" s="70" t="s">
        <v>616</v>
      </c>
      <c r="B297" s="70" t="s">
        <v>770</v>
      </c>
      <c r="C297" s="71" t="s">
        <v>815</v>
      </c>
      <c r="D297" s="70" t="s">
        <v>660</v>
      </c>
      <c r="E297" s="72">
        <v>658.12</v>
      </c>
      <c r="F297" s="72">
        <v>7.83</v>
      </c>
      <c r="G297" s="72">
        <f>ROUND(E297*F297,2)</f>
        <v>5153.08</v>
      </c>
      <c r="H297" s="62"/>
      <c r="I297" s="148" t="s">
        <v>339</v>
      </c>
    </row>
    <row r="298" spans="1:9" ht="60" customHeight="1">
      <c r="A298" s="70" t="s">
        <v>617</v>
      </c>
      <c r="B298" s="70" t="s">
        <v>782</v>
      </c>
      <c r="C298" s="71" t="s">
        <v>821</v>
      </c>
      <c r="D298" s="70" t="s">
        <v>660</v>
      </c>
      <c r="E298" s="72">
        <v>658.12</v>
      </c>
      <c r="F298" s="72">
        <v>11.44</v>
      </c>
      <c r="G298" s="72">
        <f>ROUND(E298*F298,2)</f>
        <v>7528.89</v>
      </c>
      <c r="H298" s="62"/>
      <c r="I298" s="148" t="s">
        <v>339</v>
      </c>
    </row>
    <row r="299" spans="1:9" ht="30" customHeight="1">
      <c r="A299" s="70" t="s">
        <v>618</v>
      </c>
      <c r="B299" s="70" t="s">
        <v>783</v>
      </c>
      <c r="C299" s="71" t="s">
        <v>784</v>
      </c>
      <c r="D299" s="70" t="s">
        <v>785</v>
      </c>
      <c r="E299" s="72">
        <f>ROUND(E298/10000,2)</f>
        <v>0.07</v>
      </c>
      <c r="F299" s="72">
        <v>2399.75</v>
      </c>
      <c r="G299" s="72">
        <f>ROUND(E299*F299,2)</f>
        <v>167.98</v>
      </c>
      <c r="H299" s="62"/>
      <c r="I299" s="148" t="s">
        <v>367</v>
      </c>
    </row>
    <row r="300" spans="1:9" ht="19.5" customHeight="1">
      <c r="A300" s="92"/>
      <c r="B300" s="92"/>
      <c r="C300" s="93"/>
      <c r="D300" s="92"/>
      <c r="E300" s="94"/>
      <c r="F300" s="94"/>
      <c r="G300" s="94"/>
      <c r="H300" s="62"/>
      <c r="I300" s="148"/>
    </row>
    <row r="301" spans="1:9" ht="19.5" customHeight="1">
      <c r="A301" s="102" t="s">
        <v>619</v>
      </c>
      <c r="B301" s="102"/>
      <c r="C301" s="103" t="s">
        <v>353</v>
      </c>
      <c r="D301" s="102"/>
      <c r="E301" s="104"/>
      <c r="F301" s="104"/>
      <c r="G301" s="104">
        <f>SUM(G303:G305)</f>
        <v>54013.869999999995</v>
      </c>
      <c r="H301" s="62"/>
      <c r="I301" s="148"/>
    </row>
    <row r="302" spans="1:9" ht="9.75" customHeight="1">
      <c r="A302" s="68"/>
      <c r="B302" s="68"/>
      <c r="C302" s="69"/>
      <c r="D302" s="68"/>
      <c r="E302" s="80"/>
      <c r="F302" s="80"/>
      <c r="G302" s="80"/>
      <c r="H302" s="62"/>
      <c r="I302" s="148"/>
    </row>
    <row r="303" spans="1:9" ht="60" customHeight="1">
      <c r="A303" s="70" t="s">
        <v>620</v>
      </c>
      <c r="B303" s="70" t="s">
        <v>770</v>
      </c>
      <c r="C303" s="71" t="s">
        <v>815</v>
      </c>
      <c r="D303" s="70" t="s">
        <v>660</v>
      </c>
      <c r="E303" s="72">
        <v>830.11</v>
      </c>
      <c r="F303" s="72">
        <v>7.83</v>
      </c>
      <c r="G303" s="72">
        <f>ROUND(E303*F303,2)</f>
        <v>6499.76</v>
      </c>
      <c r="H303" s="62"/>
      <c r="I303" s="148" t="s">
        <v>339</v>
      </c>
    </row>
    <row r="304" spans="1:9" ht="45" customHeight="1">
      <c r="A304" s="70" t="s">
        <v>621</v>
      </c>
      <c r="B304" s="70" t="s">
        <v>773</v>
      </c>
      <c r="C304" s="71" t="s">
        <v>817</v>
      </c>
      <c r="D304" s="70" t="s">
        <v>660</v>
      </c>
      <c r="E304" s="72">
        <v>830.11</v>
      </c>
      <c r="F304" s="72">
        <v>41.66</v>
      </c>
      <c r="G304" s="72">
        <f>ROUND(E304*F304,2)</f>
        <v>34582.38</v>
      </c>
      <c r="H304" s="62"/>
      <c r="I304" s="148" t="s">
        <v>339</v>
      </c>
    </row>
    <row r="305" spans="1:9" s="9" customFormat="1" ht="45" customHeight="1">
      <c r="A305" s="70" t="s">
        <v>622</v>
      </c>
      <c r="B305" s="70" t="s">
        <v>365</v>
      </c>
      <c r="C305" s="71" t="s">
        <v>364</v>
      </c>
      <c r="D305" s="70" t="s">
        <v>660</v>
      </c>
      <c r="E305" s="72">
        <v>1282.91</v>
      </c>
      <c r="F305" s="72">
        <v>10.08</v>
      </c>
      <c r="G305" s="72">
        <f>ROUND(E305*F305,2)</f>
        <v>12931.73</v>
      </c>
      <c r="H305" s="62"/>
      <c r="I305" s="148" t="s">
        <v>366</v>
      </c>
    </row>
    <row r="306" spans="1:9" ht="19.5" customHeight="1" thickBot="1">
      <c r="A306" s="60"/>
      <c r="B306" s="60"/>
      <c r="C306" s="73"/>
      <c r="D306" s="60"/>
      <c r="E306" s="74"/>
      <c r="F306" s="74"/>
      <c r="G306" s="74"/>
      <c r="H306" s="62"/>
      <c r="I306" s="148"/>
    </row>
    <row r="307" spans="1:11" s="8" customFormat="1" ht="19.5" customHeight="1" thickBot="1">
      <c r="A307" s="113" t="s">
        <v>374</v>
      </c>
      <c r="B307" s="114"/>
      <c r="C307" s="115" t="s">
        <v>530</v>
      </c>
      <c r="D307" s="114"/>
      <c r="E307" s="116"/>
      <c r="F307" s="116"/>
      <c r="G307" s="117">
        <f>ROUND(G308+G315,2)</f>
        <v>31916.75</v>
      </c>
      <c r="H307" s="67"/>
      <c r="I307" s="148"/>
      <c r="J307" s="12"/>
      <c r="K307" s="12"/>
    </row>
    <row r="308" spans="1:9" ht="19.5" customHeight="1">
      <c r="A308" s="77" t="s">
        <v>375</v>
      </c>
      <c r="B308" s="77"/>
      <c r="C308" s="78" t="s">
        <v>793</v>
      </c>
      <c r="D308" s="77"/>
      <c r="E308" s="79"/>
      <c r="F308" s="79"/>
      <c r="G308" s="79">
        <f>SUM(G310:G313)</f>
        <v>27962.629999999997</v>
      </c>
      <c r="H308" s="62"/>
      <c r="I308" s="148"/>
    </row>
    <row r="309" spans="1:9" ht="9.75" customHeight="1">
      <c r="A309" s="68"/>
      <c r="B309" s="68"/>
      <c r="C309" s="69"/>
      <c r="D309" s="68"/>
      <c r="E309" s="80"/>
      <c r="F309" s="80"/>
      <c r="G309" s="80"/>
      <c r="H309" s="62"/>
      <c r="I309" s="148"/>
    </row>
    <row r="310" spans="1:9" s="9" customFormat="1" ht="45" customHeight="1">
      <c r="A310" s="70" t="s">
        <v>413</v>
      </c>
      <c r="B310" s="70" t="s">
        <v>770</v>
      </c>
      <c r="C310" s="71" t="s">
        <v>771</v>
      </c>
      <c r="D310" s="70" t="s">
        <v>660</v>
      </c>
      <c r="E310" s="72">
        <v>283.38</v>
      </c>
      <c r="F310" s="72">
        <v>5.66</v>
      </c>
      <c r="G310" s="72">
        <f>ROUND(E310*F310,2)</f>
        <v>1603.93</v>
      </c>
      <c r="H310" s="62"/>
      <c r="I310" s="148" t="s">
        <v>339</v>
      </c>
    </row>
    <row r="311" spans="1:9" s="9" customFormat="1" ht="30" customHeight="1">
      <c r="A311" s="70" t="s">
        <v>414</v>
      </c>
      <c r="B311" s="70" t="s">
        <v>165</v>
      </c>
      <c r="C311" s="71" t="s">
        <v>350</v>
      </c>
      <c r="D311" s="70" t="s">
        <v>699</v>
      </c>
      <c r="E311" s="72">
        <f>ROUND(283.38*0.3,2)</f>
        <v>85.01</v>
      </c>
      <c r="F311" s="72">
        <v>87.25</v>
      </c>
      <c r="G311" s="72">
        <f aca="true" t="shared" si="10" ref="G311:G317">ROUND(E311*F311,2)</f>
        <v>7417.12</v>
      </c>
      <c r="H311" s="62"/>
      <c r="I311" s="148" t="s">
        <v>351</v>
      </c>
    </row>
    <row r="312" spans="1:9" s="9" customFormat="1" ht="75" customHeight="1">
      <c r="A312" s="70" t="s">
        <v>415</v>
      </c>
      <c r="B312" s="70" t="s">
        <v>772</v>
      </c>
      <c r="C312" s="71" t="s">
        <v>820</v>
      </c>
      <c r="D312" s="70" t="s">
        <v>750</v>
      </c>
      <c r="E312" s="72">
        <f>ROUND(E311*1.4*1*60,2)</f>
        <v>7140.84</v>
      </c>
      <c r="F312" s="72">
        <v>0.5</v>
      </c>
      <c r="G312" s="72">
        <f t="shared" si="10"/>
        <v>3570.42</v>
      </c>
      <c r="H312" s="62"/>
      <c r="I312" s="148" t="s">
        <v>429</v>
      </c>
    </row>
    <row r="313" spans="1:9" s="9" customFormat="1" ht="60" customHeight="1">
      <c r="A313" s="70" t="s">
        <v>420</v>
      </c>
      <c r="B313" s="70" t="s">
        <v>780</v>
      </c>
      <c r="C313" s="71" t="s">
        <v>818</v>
      </c>
      <c r="D313" s="70" t="s">
        <v>660</v>
      </c>
      <c r="E313" s="72">
        <f>ROUND(81.2*1.2,2)</f>
        <v>97.44</v>
      </c>
      <c r="F313" s="72">
        <v>157.75</v>
      </c>
      <c r="G313" s="72">
        <f>ROUND(E313*F313,2)</f>
        <v>15371.16</v>
      </c>
      <c r="H313" s="62"/>
      <c r="I313" s="148" t="s">
        <v>352</v>
      </c>
    </row>
    <row r="314" spans="1:9" s="9" customFormat="1" ht="19.5" customHeight="1">
      <c r="A314" s="120"/>
      <c r="B314" s="120"/>
      <c r="C314" s="121"/>
      <c r="D314" s="120"/>
      <c r="E314" s="122"/>
      <c r="F314" s="122"/>
      <c r="G314" s="122"/>
      <c r="H314" s="123"/>
      <c r="I314" s="148"/>
    </row>
    <row r="315" spans="1:9" ht="19.5" customHeight="1">
      <c r="A315" s="102" t="s">
        <v>416</v>
      </c>
      <c r="B315" s="102"/>
      <c r="C315" s="103" t="s">
        <v>677</v>
      </c>
      <c r="D315" s="102"/>
      <c r="E315" s="104"/>
      <c r="F315" s="104"/>
      <c r="G315" s="104">
        <f>SUM(G317)</f>
        <v>3954.12</v>
      </c>
      <c r="H315" s="62"/>
      <c r="I315" s="148"/>
    </row>
    <row r="316" spans="1:9" ht="9.75" customHeight="1">
      <c r="A316" s="68"/>
      <c r="B316" s="68"/>
      <c r="C316" s="69"/>
      <c r="D316" s="68"/>
      <c r="E316" s="80"/>
      <c r="F316" s="80"/>
      <c r="G316" s="80"/>
      <c r="H316" s="62"/>
      <c r="I316" s="148"/>
    </row>
    <row r="317" spans="1:9" s="9" customFormat="1" ht="75" customHeight="1">
      <c r="A317" s="70" t="s">
        <v>417</v>
      </c>
      <c r="B317" s="70" t="s">
        <v>696</v>
      </c>
      <c r="C317" s="71" t="s">
        <v>723</v>
      </c>
      <c r="D317" s="70" t="s">
        <v>660</v>
      </c>
      <c r="E317" s="72">
        <f>ROUND(81.2*1.2*2,2)</f>
        <v>194.88</v>
      </c>
      <c r="F317" s="72">
        <v>20.29</v>
      </c>
      <c r="G317" s="72">
        <f t="shared" si="10"/>
        <v>3954.12</v>
      </c>
      <c r="H317" s="62"/>
      <c r="I317" s="148" t="s">
        <v>382</v>
      </c>
    </row>
    <row r="318" spans="1:9" ht="19.5" customHeight="1" thickBot="1">
      <c r="A318" s="60"/>
      <c r="B318" s="60"/>
      <c r="C318" s="73"/>
      <c r="D318" s="60"/>
      <c r="E318" s="74"/>
      <c r="F318" s="74"/>
      <c r="G318" s="74"/>
      <c r="H318" s="62"/>
      <c r="I318" s="148"/>
    </row>
    <row r="319" spans="1:11" s="8" customFormat="1" ht="19.5" customHeight="1" thickBot="1">
      <c r="A319" s="113" t="s">
        <v>404</v>
      </c>
      <c r="B319" s="114"/>
      <c r="C319" s="115" t="s">
        <v>397</v>
      </c>
      <c r="D319" s="114"/>
      <c r="E319" s="116"/>
      <c r="F319" s="116"/>
      <c r="G319" s="117">
        <f>ROUND(G320+G336,2)</f>
        <v>52208.05</v>
      </c>
      <c r="H319" s="67"/>
      <c r="I319" s="148"/>
      <c r="J319" s="12"/>
      <c r="K319" s="12"/>
    </row>
    <row r="320" spans="1:9" ht="19.5" customHeight="1">
      <c r="A320" s="77" t="s">
        <v>405</v>
      </c>
      <c r="B320" s="77"/>
      <c r="C320" s="78" t="s">
        <v>412</v>
      </c>
      <c r="D320" s="77"/>
      <c r="E320" s="79"/>
      <c r="F320" s="79"/>
      <c r="G320" s="79">
        <f>SUM(G322:G334)</f>
        <v>46078.03999999999</v>
      </c>
      <c r="H320" s="62"/>
      <c r="I320" s="148"/>
    </row>
    <row r="321" spans="1:9" ht="9.75" customHeight="1">
      <c r="A321" s="68"/>
      <c r="B321" s="68"/>
      <c r="C321" s="69"/>
      <c r="D321" s="68"/>
      <c r="E321" s="80"/>
      <c r="F321" s="80"/>
      <c r="G321" s="80"/>
      <c r="H321" s="62"/>
      <c r="I321" s="148"/>
    </row>
    <row r="322" spans="1:9" ht="60" customHeight="1">
      <c r="A322" s="70" t="s">
        <v>406</v>
      </c>
      <c r="B322" s="70" t="s">
        <v>770</v>
      </c>
      <c r="C322" s="71" t="s">
        <v>815</v>
      </c>
      <c r="D322" s="70" t="s">
        <v>660</v>
      </c>
      <c r="E322" s="72">
        <f>ROUND(7.5*15,2)</f>
        <v>112.5</v>
      </c>
      <c r="F322" s="72">
        <v>7.83</v>
      </c>
      <c r="G322" s="72">
        <f>ROUND(E322*F322,2)</f>
        <v>880.88</v>
      </c>
      <c r="H322" s="62"/>
      <c r="I322" s="148" t="s">
        <v>423</v>
      </c>
    </row>
    <row r="323" spans="1:9" ht="45" customHeight="1">
      <c r="A323" s="70" t="s">
        <v>407</v>
      </c>
      <c r="B323" s="70" t="s">
        <v>773</v>
      </c>
      <c r="C323" s="71" t="s">
        <v>817</v>
      </c>
      <c r="D323" s="70" t="s">
        <v>660</v>
      </c>
      <c r="E323" s="72">
        <f>ROUND((7.5*15)+(10*3),2)</f>
        <v>142.5</v>
      </c>
      <c r="F323" s="72">
        <v>41.66</v>
      </c>
      <c r="G323" s="72">
        <f>ROUND(E323*F323,2)</f>
        <v>5936.55</v>
      </c>
      <c r="H323" s="62"/>
      <c r="I323" s="148" t="s">
        <v>424</v>
      </c>
    </row>
    <row r="324" spans="1:9" ht="45" customHeight="1">
      <c r="A324" s="70" t="s">
        <v>408</v>
      </c>
      <c r="B324" s="70" t="s">
        <v>779</v>
      </c>
      <c r="C324" s="71" t="s">
        <v>258</v>
      </c>
      <c r="D324" s="70" t="s">
        <v>699</v>
      </c>
      <c r="E324" s="72">
        <f>ROUND(0.6*0.6*0.5*10,2)</f>
        <v>1.8</v>
      </c>
      <c r="F324" s="72">
        <v>43.91</v>
      </c>
      <c r="G324" s="72">
        <f aca="true" t="shared" si="11" ref="G324:G332">ROUND(E324*F324,2)</f>
        <v>79.04</v>
      </c>
      <c r="H324" s="62"/>
      <c r="I324" s="148" t="s">
        <v>421</v>
      </c>
    </row>
    <row r="325" spans="1:9" ht="60" customHeight="1">
      <c r="A325" s="70" t="s">
        <v>409</v>
      </c>
      <c r="B325" s="105" t="s">
        <v>754</v>
      </c>
      <c r="C325" s="106" t="s">
        <v>752</v>
      </c>
      <c r="D325" s="105" t="s">
        <v>699</v>
      </c>
      <c r="E325" s="72">
        <f>ROUND(0.5*0.5*0.3*10,2)</f>
        <v>0.75</v>
      </c>
      <c r="F325" s="72">
        <v>350.72</v>
      </c>
      <c r="G325" s="72">
        <f t="shared" si="11"/>
        <v>263.04</v>
      </c>
      <c r="H325" s="62"/>
      <c r="I325" s="148" t="s">
        <v>422</v>
      </c>
    </row>
    <row r="326" spans="1:9" ht="45" customHeight="1">
      <c r="A326" s="70" t="s">
        <v>410</v>
      </c>
      <c r="B326" s="70" t="s">
        <v>756</v>
      </c>
      <c r="C326" s="71" t="s">
        <v>259</v>
      </c>
      <c r="D326" s="70" t="s">
        <v>699</v>
      </c>
      <c r="E326" s="72">
        <f>E324*0.8</f>
        <v>1.4400000000000002</v>
      </c>
      <c r="F326" s="72">
        <v>27.12</v>
      </c>
      <c r="G326" s="72">
        <f>ROUND(E326*F326,2)</f>
        <v>39.05</v>
      </c>
      <c r="H326" s="62"/>
      <c r="I326" s="148" t="s">
        <v>272</v>
      </c>
    </row>
    <row r="327" spans="1:9" ht="30" customHeight="1">
      <c r="A327" s="70" t="s">
        <v>411</v>
      </c>
      <c r="B327" s="124" t="s">
        <v>426</v>
      </c>
      <c r="C327" s="125" t="s">
        <v>731</v>
      </c>
      <c r="D327" s="124" t="s">
        <v>674</v>
      </c>
      <c r="E327" s="72">
        <f>ROUND(3.2*10,2)</f>
        <v>32</v>
      </c>
      <c r="F327" s="72" t="s">
        <v>428</v>
      </c>
      <c r="G327" s="72">
        <f>ROUND(E327*F327,2)</f>
        <v>1866.56</v>
      </c>
      <c r="H327" s="62"/>
      <c r="I327" s="148" t="s">
        <v>427</v>
      </c>
    </row>
    <row r="328" spans="1:9" ht="75" customHeight="1">
      <c r="A328" s="70" t="s">
        <v>623</v>
      </c>
      <c r="B328" s="124" t="s">
        <v>401</v>
      </c>
      <c r="C328" s="125" t="s">
        <v>400</v>
      </c>
      <c r="D328" s="124" t="s">
        <v>660</v>
      </c>
      <c r="E328" s="72">
        <f>ROUND(9*16.3,2)</f>
        <v>146.7</v>
      </c>
      <c r="F328" s="72">
        <v>82.07</v>
      </c>
      <c r="G328" s="72">
        <f t="shared" si="11"/>
        <v>12039.67</v>
      </c>
      <c r="H328" s="62"/>
      <c r="I328" s="148" t="s">
        <v>418</v>
      </c>
    </row>
    <row r="329" spans="1:9" ht="30" customHeight="1">
      <c r="A329" s="70" t="s">
        <v>624</v>
      </c>
      <c r="B329" s="124" t="s">
        <v>399</v>
      </c>
      <c r="C329" s="125" t="s">
        <v>398</v>
      </c>
      <c r="D329" s="124" t="s">
        <v>661</v>
      </c>
      <c r="E329" s="72">
        <v>3</v>
      </c>
      <c r="F329" s="72">
        <v>2037.62</v>
      </c>
      <c r="G329" s="72">
        <f t="shared" si="11"/>
        <v>6112.86</v>
      </c>
      <c r="H329" s="62"/>
      <c r="I329" s="148" t="s">
        <v>290</v>
      </c>
    </row>
    <row r="330" spans="1:9" ht="45" customHeight="1">
      <c r="A330" s="70" t="s">
        <v>625</v>
      </c>
      <c r="B330" s="124" t="s">
        <v>403</v>
      </c>
      <c r="C330" s="125" t="s">
        <v>402</v>
      </c>
      <c r="D330" s="124" t="s">
        <v>660</v>
      </c>
      <c r="E330" s="72">
        <f>ROUND(9*16.3,2)</f>
        <v>146.7</v>
      </c>
      <c r="F330" s="72">
        <v>105.74</v>
      </c>
      <c r="G330" s="72">
        <f t="shared" si="11"/>
        <v>15512.06</v>
      </c>
      <c r="H330" s="62"/>
      <c r="I330" s="148" t="s">
        <v>418</v>
      </c>
    </row>
    <row r="331" spans="1:9" ht="60" customHeight="1">
      <c r="A331" s="62" t="s">
        <v>626</v>
      </c>
      <c r="B331" s="119" t="s">
        <v>440</v>
      </c>
      <c r="C331" s="126" t="s">
        <v>439</v>
      </c>
      <c r="D331" s="119" t="s">
        <v>661</v>
      </c>
      <c r="E331" s="91">
        <v>8</v>
      </c>
      <c r="F331" s="91">
        <v>181.62</v>
      </c>
      <c r="G331" s="72">
        <f t="shared" si="11"/>
        <v>1452.96</v>
      </c>
      <c r="H331" s="62"/>
      <c r="I331" s="148" t="s">
        <v>443</v>
      </c>
    </row>
    <row r="332" spans="1:9" ht="60" customHeight="1">
      <c r="A332" s="62" t="s">
        <v>627</v>
      </c>
      <c r="B332" s="119" t="s">
        <v>442</v>
      </c>
      <c r="C332" s="126" t="s">
        <v>441</v>
      </c>
      <c r="D332" s="119" t="s">
        <v>661</v>
      </c>
      <c r="E332" s="91">
        <v>10</v>
      </c>
      <c r="F332" s="91">
        <v>172.91</v>
      </c>
      <c r="G332" s="72">
        <f t="shared" si="11"/>
        <v>1729.1</v>
      </c>
      <c r="H332" s="62"/>
      <c r="I332" s="148" t="s">
        <v>444</v>
      </c>
    </row>
    <row r="333" spans="1:9" ht="45" customHeight="1">
      <c r="A333" s="62" t="s">
        <v>628</v>
      </c>
      <c r="B333" s="119" t="s">
        <v>445</v>
      </c>
      <c r="C333" s="126" t="s">
        <v>760</v>
      </c>
      <c r="D333" s="119" t="s">
        <v>661</v>
      </c>
      <c r="E333" s="91">
        <v>8</v>
      </c>
      <c r="F333" s="91">
        <v>4.99</v>
      </c>
      <c r="G333" s="72">
        <f>ROUND(E333*F333,2)</f>
        <v>39.92</v>
      </c>
      <c r="H333" s="62"/>
      <c r="I333" s="148" t="s">
        <v>443</v>
      </c>
    </row>
    <row r="334" spans="1:9" ht="45" customHeight="1">
      <c r="A334" s="62" t="s">
        <v>629</v>
      </c>
      <c r="B334" s="119" t="s">
        <v>446</v>
      </c>
      <c r="C334" s="126" t="s">
        <v>761</v>
      </c>
      <c r="D334" s="119" t="s">
        <v>661</v>
      </c>
      <c r="E334" s="91">
        <v>5</v>
      </c>
      <c r="F334" s="91">
        <v>25.27</v>
      </c>
      <c r="G334" s="72">
        <f>ROUND(E334*F334,2)</f>
        <v>126.35</v>
      </c>
      <c r="H334" s="62"/>
      <c r="I334" s="148" t="s">
        <v>443</v>
      </c>
    </row>
    <row r="335" spans="1:9" ht="19.5" customHeight="1">
      <c r="A335" s="92"/>
      <c r="B335" s="92"/>
      <c r="C335" s="93"/>
      <c r="D335" s="92"/>
      <c r="E335" s="94"/>
      <c r="F335" s="94"/>
      <c r="G335" s="94"/>
      <c r="H335" s="62"/>
      <c r="I335" s="148"/>
    </row>
    <row r="336" spans="1:9" ht="19.5" customHeight="1">
      <c r="A336" s="84" t="s">
        <v>630</v>
      </c>
      <c r="B336" s="84"/>
      <c r="C336" s="85" t="s">
        <v>677</v>
      </c>
      <c r="D336" s="84"/>
      <c r="E336" s="86"/>
      <c r="F336" s="86"/>
      <c r="G336" s="86">
        <f>SUM(G338:G339)</f>
        <v>6130.01</v>
      </c>
      <c r="H336" s="62"/>
      <c r="I336" s="148"/>
    </row>
    <row r="337" spans="1:9" ht="9.75" customHeight="1">
      <c r="A337" s="68"/>
      <c r="B337" s="68"/>
      <c r="C337" s="69"/>
      <c r="D337" s="68"/>
      <c r="E337" s="80"/>
      <c r="F337" s="80"/>
      <c r="G337" s="80"/>
      <c r="H337" s="62"/>
      <c r="I337" s="148"/>
    </row>
    <row r="338" spans="1:9" s="9" customFormat="1" ht="60" customHeight="1">
      <c r="A338" s="70" t="s">
        <v>631</v>
      </c>
      <c r="B338" s="70" t="s">
        <v>90</v>
      </c>
      <c r="C338" s="71" t="s">
        <v>8</v>
      </c>
      <c r="D338" s="70" t="s">
        <v>660</v>
      </c>
      <c r="E338" s="72">
        <f>ROUND((9*16.3)+(3.2*0.15*4*10),2)</f>
        <v>165.9</v>
      </c>
      <c r="F338" s="72">
        <v>31.03</v>
      </c>
      <c r="G338" s="72">
        <f>ROUND(E338*F338,2)</f>
        <v>5147.88</v>
      </c>
      <c r="H338" s="62"/>
      <c r="I338" s="148" t="s">
        <v>419</v>
      </c>
    </row>
    <row r="339" spans="1:9" s="9" customFormat="1" ht="60" customHeight="1">
      <c r="A339" s="70" t="s">
        <v>632</v>
      </c>
      <c r="B339" s="70" t="s">
        <v>7</v>
      </c>
      <c r="C339" s="71" t="s">
        <v>6</v>
      </c>
      <c r="D339" s="70" t="s">
        <v>660</v>
      </c>
      <c r="E339" s="72">
        <f>ROUND((9*16.3)+(3.2*0.15*4*10),2)</f>
        <v>165.9</v>
      </c>
      <c r="F339" s="72">
        <v>5.92</v>
      </c>
      <c r="G339" s="72">
        <f>ROUND(E339*F339,2)</f>
        <v>982.13</v>
      </c>
      <c r="H339" s="62"/>
      <c r="I339" s="148" t="s">
        <v>419</v>
      </c>
    </row>
    <row r="340" spans="1:9" ht="19.5" customHeight="1" thickBot="1">
      <c r="A340" s="127"/>
      <c r="B340" s="127"/>
      <c r="C340" s="127"/>
      <c r="D340" s="128"/>
      <c r="E340" s="127"/>
      <c r="F340" s="127"/>
      <c r="G340" s="127"/>
      <c r="H340" s="101"/>
      <c r="I340" s="148"/>
    </row>
    <row r="341" spans="1:11" s="8" customFormat="1" ht="19.5" customHeight="1" thickBot="1">
      <c r="A341" s="113" t="s">
        <v>633</v>
      </c>
      <c r="B341" s="114"/>
      <c r="C341" s="115" t="s">
        <v>805</v>
      </c>
      <c r="D341" s="114"/>
      <c r="E341" s="116"/>
      <c r="F341" s="116"/>
      <c r="G341" s="117">
        <f>ROUND(G342,2)</f>
        <v>259396.07</v>
      </c>
      <c r="H341" s="67"/>
      <c r="I341" s="148"/>
      <c r="J341" s="12"/>
      <c r="K341" s="12"/>
    </row>
    <row r="342" spans="1:9" ht="19.5" customHeight="1">
      <c r="A342" s="77" t="s">
        <v>634</v>
      </c>
      <c r="B342" s="77"/>
      <c r="C342" s="78" t="s">
        <v>793</v>
      </c>
      <c r="D342" s="77"/>
      <c r="E342" s="79"/>
      <c r="F342" s="79"/>
      <c r="G342" s="79">
        <f>SUM(G344:G349)</f>
        <v>259396.07</v>
      </c>
      <c r="H342" s="62"/>
      <c r="I342" s="148"/>
    </row>
    <row r="343" spans="1:9" ht="9.75" customHeight="1">
      <c r="A343" s="68"/>
      <c r="B343" s="68"/>
      <c r="C343" s="69"/>
      <c r="D343" s="68"/>
      <c r="E343" s="80"/>
      <c r="F343" s="80"/>
      <c r="G343" s="80"/>
      <c r="H343" s="62"/>
      <c r="I343" s="148"/>
    </row>
    <row r="344" spans="1:9" s="9" customFormat="1" ht="60" customHeight="1">
      <c r="A344" s="70" t="s">
        <v>635</v>
      </c>
      <c r="B344" s="129" t="s">
        <v>770</v>
      </c>
      <c r="C344" s="130" t="s">
        <v>815</v>
      </c>
      <c r="D344" s="129" t="s">
        <v>660</v>
      </c>
      <c r="E344" s="72">
        <v>5277.89</v>
      </c>
      <c r="F344" s="72">
        <v>7.83</v>
      </c>
      <c r="G344" s="72">
        <f aca="true" t="shared" si="12" ref="G344:G349">ROUND(E344*F344,2)</f>
        <v>41325.88</v>
      </c>
      <c r="H344" s="62"/>
      <c r="I344" s="148" t="s">
        <v>339</v>
      </c>
    </row>
    <row r="345" spans="1:9" s="9" customFormat="1" ht="15" customHeight="1">
      <c r="A345" s="70" t="s">
        <v>636</v>
      </c>
      <c r="B345" s="87" t="s">
        <v>338</v>
      </c>
      <c r="C345" s="71" t="s">
        <v>718</v>
      </c>
      <c r="D345" s="87" t="s">
        <v>699</v>
      </c>
      <c r="E345" s="72">
        <f>ROUND(E346*0.1,2)</f>
        <v>527.79</v>
      </c>
      <c r="F345" s="72">
        <v>154.87</v>
      </c>
      <c r="G345" s="72">
        <f t="shared" si="12"/>
        <v>81738.84</v>
      </c>
      <c r="H345" s="62"/>
      <c r="I345" s="148" t="s">
        <v>425</v>
      </c>
    </row>
    <row r="346" spans="1:9" s="9" customFormat="1" ht="45" customHeight="1">
      <c r="A346" s="131" t="s">
        <v>637</v>
      </c>
      <c r="B346" s="70" t="s">
        <v>806</v>
      </c>
      <c r="C346" s="71" t="s">
        <v>824</v>
      </c>
      <c r="D346" s="70" t="s">
        <v>660</v>
      </c>
      <c r="E346" s="72">
        <v>5277.89</v>
      </c>
      <c r="F346" s="72">
        <v>8.08</v>
      </c>
      <c r="G346" s="72">
        <f t="shared" si="12"/>
        <v>42645.35</v>
      </c>
      <c r="H346" s="62"/>
      <c r="I346" s="148" t="s">
        <v>339</v>
      </c>
    </row>
    <row r="347" spans="1:9" s="9" customFormat="1" ht="90" customHeight="1">
      <c r="A347" s="70" t="s">
        <v>638</v>
      </c>
      <c r="B347" s="70" t="s">
        <v>807</v>
      </c>
      <c r="C347" s="71" t="s">
        <v>340</v>
      </c>
      <c r="D347" s="70" t="s">
        <v>661</v>
      </c>
      <c r="E347" s="72">
        <v>76</v>
      </c>
      <c r="F347" s="72">
        <v>1193.56</v>
      </c>
      <c r="G347" s="72">
        <f t="shared" si="12"/>
        <v>90710.56</v>
      </c>
      <c r="H347" s="62"/>
      <c r="I347" s="148" t="s">
        <v>341</v>
      </c>
    </row>
    <row r="348" spans="1:9" s="9" customFormat="1" ht="45" customHeight="1">
      <c r="A348" s="70" t="s">
        <v>639</v>
      </c>
      <c r="B348" s="70" t="s">
        <v>808</v>
      </c>
      <c r="C348" s="71" t="s">
        <v>342</v>
      </c>
      <c r="D348" s="70" t="s">
        <v>661</v>
      </c>
      <c r="E348" s="72">
        <v>26</v>
      </c>
      <c r="F348" s="72">
        <v>103.19</v>
      </c>
      <c r="G348" s="72">
        <f t="shared" si="12"/>
        <v>2682.94</v>
      </c>
      <c r="H348" s="62"/>
      <c r="I348" s="148" t="s">
        <v>343</v>
      </c>
    </row>
    <row r="349" spans="1:9" s="9" customFormat="1" ht="75" customHeight="1" thickBot="1">
      <c r="A349" s="132" t="s">
        <v>640</v>
      </c>
      <c r="B349" s="132" t="s">
        <v>809</v>
      </c>
      <c r="C349" s="133" t="s">
        <v>525</v>
      </c>
      <c r="D349" s="132" t="s">
        <v>661</v>
      </c>
      <c r="E349" s="134">
        <v>65</v>
      </c>
      <c r="F349" s="134">
        <v>4.5</v>
      </c>
      <c r="G349" s="134">
        <f t="shared" si="12"/>
        <v>292.5</v>
      </c>
      <c r="H349" s="135"/>
      <c r="I349" s="147" t="s">
        <v>344</v>
      </c>
    </row>
    <row r="350" spans="1:11" s="17" customFormat="1" ht="19.5" customHeight="1">
      <c r="A350" s="136"/>
      <c r="B350" s="137"/>
      <c r="C350" s="136"/>
      <c r="D350" s="136"/>
      <c r="E350" s="138"/>
      <c r="F350" s="139" t="s">
        <v>516</v>
      </c>
      <c r="G350" s="140">
        <f>ROUND(G14+G34+G71+G103+G126+G139+G151+G157+G230+G268+G307+G319+G341,2)</f>
        <v>1369893.42</v>
      </c>
      <c r="H350" s="140"/>
      <c r="I350" s="150"/>
      <c r="K350" s="18"/>
    </row>
    <row r="351" spans="1:11" s="17" customFormat="1" ht="19.5" customHeight="1" hidden="1" thickBot="1">
      <c r="A351" s="22"/>
      <c r="B351" s="23"/>
      <c r="C351" s="36">
        <v>19.85</v>
      </c>
      <c r="D351" s="36"/>
      <c r="E351" s="36"/>
      <c r="F351" s="36"/>
      <c r="G351" s="24">
        <f>G350*0.01*C351</f>
        <v>271923.84387000004</v>
      </c>
      <c r="H351" s="16"/>
      <c r="I351" s="34"/>
      <c r="K351" s="18"/>
    </row>
    <row r="352" spans="1:11" s="17" customFormat="1" ht="18.75" customHeight="1" hidden="1" thickTop="1">
      <c r="A352" s="20"/>
      <c r="B352" s="21"/>
      <c r="C352" s="20"/>
      <c r="D352" s="20"/>
      <c r="E352" s="25"/>
      <c r="F352" s="26" t="s">
        <v>517</v>
      </c>
      <c r="G352" s="27">
        <f>G351+G350</f>
        <v>1641817.26387</v>
      </c>
      <c r="H352" s="19"/>
      <c r="I352" s="34"/>
      <c r="K352" s="18"/>
    </row>
    <row r="353" spans="1:8" ht="15" customHeight="1" hidden="1">
      <c r="A353" s="3"/>
      <c r="B353" s="3"/>
      <c r="C353" s="13"/>
      <c r="D353" s="3"/>
      <c r="E353" s="14"/>
      <c r="F353" s="14"/>
      <c r="G353" s="14"/>
      <c r="H353" s="3"/>
    </row>
    <row r="354" spans="1:8" ht="15" customHeight="1" hidden="1">
      <c r="A354" s="3"/>
      <c r="B354" s="3"/>
      <c r="C354" s="13"/>
      <c r="D354" s="3"/>
      <c r="E354" s="14"/>
      <c r="F354" s="14"/>
      <c r="G354" s="14"/>
      <c r="H354" s="3"/>
    </row>
    <row r="355" spans="1:8" ht="15" customHeight="1" hidden="1">
      <c r="A355" s="3"/>
      <c r="B355" s="3"/>
      <c r="C355" s="13"/>
      <c r="D355" s="37" t="s">
        <v>520</v>
      </c>
      <c r="E355" s="37"/>
      <c r="F355" s="37"/>
      <c r="G355" s="37"/>
      <c r="H355" s="3"/>
    </row>
    <row r="356" spans="4:7" ht="19.5" customHeight="1" hidden="1">
      <c r="D356" s="38" t="s">
        <v>518</v>
      </c>
      <c r="E356" s="39"/>
      <c r="F356" s="40">
        <f>ROUND((G14+G34+G71+G103+G126+G139+G151+G157)*1.1985,2)</f>
        <v>469300.97</v>
      </c>
      <c r="G356" s="41"/>
    </row>
    <row r="357" spans="3:7" ht="19.5" customHeight="1" hidden="1">
      <c r="C357" s="28"/>
      <c r="D357" s="42" t="s">
        <v>519</v>
      </c>
      <c r="E357" s="43"/>
      <c r="F357" s="44">
        <f>ROUND((G230+G268+G307+G319+G341)*1.1985,2)</f>
        <v>1172516.29</v>
      </c>
      <c r="G357" s="45"/>
    </row>
    <row r="358" spans="3:5" ht="12.75" hidden="1">
      <c r="C358" s="28"/>
      <c r="D358" s="35"/>
      <c r="E358" s="35"/>
    </row>
    <row r="359" ht="15.75">
      <c r="G359" s="15"/>
    </row>
    <row r="366" ht="12.75">
      <c r="G366" s="32"/>
    </row>
  </sheetData>
  <sheetProtection/>
  <mergeCells count="12">
    <mergeCell ref="A11:G11"/>
    <mergeCell ref="A1:G3"/>
    <mergeCell ref="C4:D8"/>
    <mergeCell ref="F8:G8"/>
    <mergeCell ref="A9:G10"/>
    <mergeCell ref="D358:E358"/>
    <mergeCell ref="C351:F351"/>
    <mergeCell ref="D355:G355"/>
    <mergeCell ref="D356:E356"/>
    <mergeCell ref="F356:G356"/>
    <mergeCell ref="D357:E357"/>
    <mergeCell ref="F357:G357"/>
  </mergeCells>
  <printOptions/>
  <pageMargins left="0.7874015748031497" right="0.7874015748031497" top="0.5905511811023623" bottom="0.5905511811023623" header="0.31496062992125984" footer="0.31496062992125984"/>
  <pageSetup orientation="portrait" paperSize="9" scale="75" r:id="rId2"/>
  <headerFooter alignWithMargins="0">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danilo.chagas</dc:creator>
  <cp:keywords/>
  <dc:description/>
  <cp:lastModifiedBy>denise.pessanha</cp:lastModifiedBy>
  <cp:lastPrinted>2019-01-10T12:38:02Z</cp:lastPrinted>
  <dcterms:created xsi:type="dcterms:W3CDTF">2013-01-08T16:51:16Z</dcterms:created>
  <dcterms:modified xsi:type="dcterms:W3CDTF">2019-01-10T12:39:55Z</dcterms:modified>
  <cp:category/>
  <cp:version/>
  <cp:contentType/>
  <cp:contentStatus/>
</cp:coreProperties>
</file>